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15ZAKAZKY\PM_VZ\17256_Muzeum Vysočiny Jihlava_IPRÚ\VZ\VZ 01_Realizace expozic\01 Zadávací dokumentace\Příloha č. 1 ZD_Projektová dokumentace\08 Soupis dodávek a prací\"/>
    </mc:Choice>
  </mc:AlternateContent>
  <workbookProtection lockStructure="1"/>
  <bookViews>
    <workbookView xWindow="0" yWindow="0" windowWidth="33330" windowHeight="18620" tabRatio="888"/>
  </bookViews>
  <sheets>
    <sheet name="00_SOUHRNNÝ LIST" sheetId="20" r:id="rId1"/>
    <sheet name="00_SHRNUTÍ EXPOZIC" sheetId="17" r:id="rId2"/>
    <sheet name="01_LAPIDARIUM" sheetId="7" r:id="rId3"/>
    <sheet name="03_DOBA LEDOVÁ" sheetId="9" r:id="rId4"/>
    <sheet name="04_OTEVŘENÁ KRAJINA" sheetId="10" r:id="rId5"/>
    <sheet name="05_VODA" sheetId="8" r:id="rId6"/>
    <sheet name="07_LESY" sheetId="11" r:id="rId7"/>
    <sheet name="08_MRAVENIŠTĚ" sheetId="15" r:id="rId8"/>
    <sheet name="09_GOTIKA" sheetId="16" r:id="rId9"/>
    <sheet name="10_JIHLAVSKÉ CECHY" sheetId="12" r:id="rId10"/>
    <sheet name="11_RENESANCE" sheetId="1" r:id="rId11"/>
    <sheet name="12_BAROKO" sheetId="2" r:id="rId12"/>
    <sheet name="13_19.STOLETÍ" sheetId="3" r:id="rId13"/>
    <sheet name="14_20.STOLETÍ" sheetId="4" r:id="rId14"/>
    <sheet name="15_KUNSTKOMORA" sheetId="5" r:id="rId15"/>
    <sheet name="16_VIDEOMAPPING" sheetId="6" r:id="rId16"/>
  </sheets>
  <definedNames>
    <definedName name="_xlnm.Print_Titles" localSheetId="2">'01_LAPIDARIUM'!$14:$14</definedName>
    <definedName name="_xlnm.Print_Titles" localSheetId="3">'03_DOBA LEDOVÁ'!$14:$14</definedName>
    <definedName name="_xlnm.Print_Titles" localSheetId="4">'04_OTEVŘENÁ KRAJINA'!$14:$14</definedName>
    <definedName name="_xlnm.Print_Titles" localSheetId="5">'05_VODA'!$14:$14</definedName>
    <definedName name="_xlnm.Print_Titles" localSheetId="6">'07_LESY'!$14:$14</definedName>
    <definedName name="_xlnm.Print_Titles" localSheetId="7">'08_MRAVENIŠTĚ'!$14:$14</definedName>
    <definedName name="_xlnm.Print_Titles" localSheetId="8">'09_GOTIKA'!$14:$14</definedName>
    <definedName name="_xlnm.Print_Titles" localSheetId="9">'10_JIHLAVSKÉ CECHY'!$14:$14</definedName>
    <definedName name="_xlnm.Print_Titles" localSheetId="10">'11_RENESANCE'!$14:$14</definedName>
    <definedName name="_xlnm.Print_Titles" localSheetId="11">'12_BAROKO'!$14:$14</definedName>
    <definedName name="_xlnm.Print_Titles" localSheetId="12">'13_19.STOLETÍ'!$14:$14</definedName>
    <definedName name="_xlnm.Print_Titles" localSheetId="13">'14_20.STOLETÍ'!$14:$14</definedName>
    <definedName name="_xlnm.Print_Titles" localSheetId="14">'15_KUNSTKOMORA'!$14:$14</definedName>
    <definedName name="_xlnm.Print_Titles" localSheetId="15">'16_VIDEOMAPPING'!$14:$14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0" i="4" l="1"/>
  <c r="M76" i="4"/>
  <c r="M75" i="4"/>
  <c r="M74" i="4"/>
  <c r="L72" i="4"/>
  <c r="L71" i="4"/>
  <c r="L70" i="4"/>
  <c r="L69" i="4"/>
  <c r="L55" i="4"/>
  <c r="L51" i="4"/>
  <c r="L47" i="4"/>
  <c r="L40" i="4"/>
  <c r="L36" i="4"/>
  <c r="L32" i="4"/>
  <c r="L30" i="4"/>
  <c r="L28" i="4"/>
  <c r="L27" i="4"/>
  <c r="L26" i="4"/>
  <c r="L21" i="4"/>
  <c r="M19" i="4"/>
  <c r="M17" i="4"/>
  <c r="L203" i="3"/>
  <c r="L199" i="3"/>
  <c r="L192" i="3"/>
  <c r="M188" i="3"/>
  <c r="M187" i="3"/>
  <c r="L185" i="3"/>
  <c r="M181" i="3"/>
  <c r="M180" i="3"/>
  <c r="L178" i="3"/>
  <c r="L177" i="3"/>
  <c r="L176" i="3"/>
  <c r="M172" i="3"/>
  <c r="M171" i="3"/>
  <c r="M170" i="3"/>
  <c r="L168" i="3"/>
  <c r="L167" i="3"/>
  <c r="L166" i="3"/>
  <c r="L165" i="3"/>
  <c r="L158" i="3"/>
  <c r="L154" i="3"/>
  <c r="L150" i="3"/>
  <c r="L146" i="3"/>
  <c r="L142" i="3"/>
  <c r="L138" i="3"/>
  <c r="M131" i="3"/>
  <c r="L127" i="3"/>
  <c r="L123" i="3"/>
  <c r="L119" i="3"/>
  <c r="M114" i="3"/>
  <c r="L114" i="3"/>
  <c r="L112" i="3"/>
  <c r="L111" i="3"/>
  <c r="L109" i="3"/>
  <c r="L108" i="3"/>
  <c r="L107" i="3"/>
  <c r="L105" i="3"/>
  <c r="L101" i="3"/>
  <c r="L100" i="3"/>
  <c r="L99" i="3"/>
  <c r="L97" i="3"/>
  <c r="L96" i="3"/>
  <c r="L94" i="3"/>
  <c r="L93" i="3"/>
  <c r="L92" i="3"/>
  <c r="L90" i="3"/>
  <c r="L89" i="3"/>
  <c r="L88" i="3"/>
  <c r="L87" i="3"/>
  <c r="L86" i="3"/>
  <c r="L84" i="3"/>
  <c r="L83" i="3"/>
  <c r="L64" i="3"/>
  <c r="L62" i="3"/>
  <c r="L60" i="3"/>
  <c r="L59" i="3"/>
  <c r="L58" i="3"/>
  <c r="L56" i="3"/>
  <c r="L55" i="3"/>
  <c r="L54" i="3"/>
  <c r="L50" i="3"/>
  <c r="L48" i="3"/>
  <c r="L46" i="3"/>
  <c r="L45" i="3"/>
  <c r="L44" i="3"/>
  <c r="L42" i="3"/>
  <c r="L41" i="3"/>
  <c r="L40" i="3"/>
  <c r="L36" i="3"/>
  <c r="L34" i="3"/>
  <c r="L32" i="3"/>
  <c r="L31" i="3"/>
  <c r="L30" i="3"/>
  <c r="M25" i="3"/>
  <c r="M23" i="3"/>
  <c r="M21" i="3"/>
  <c r="M19" i="3"/>
  <c r="M18" i="3"/>
  <c r="M17" i="3"/>
  <c r="L233" i="2"/>
  <c r="L226" i="2"/>
  <c r="M222" i="2"/>
  <c r="M221" i="2"/>
  <c r="L219" i="2"/>
  <c r="M215" i="2"/>
  <c r="M214" i="2"/>
  <c r="M213" i="2"/>
  <c r="M212" i="2"/>
  <c r="L210" i="2"/>
  <c r="L209" i="2"/>
  <c r="L208" i="2"/>
  <c r="L207" i="2"/>
  <c r="L206" i="2"/>
  <c r="L205" i="2"/>
  <c r="L204" i="2"/>
  <c r="M200" i="2"/>
  <c r="M199" i="2"/>
  <c r="L197" i="2"/>
  <c r="L196" i="2"/>
  <c r="L195" i="2"/>
  <c r="M191" i="2"/>
  <c r="M190" i="2"/>
  <c r="M189" i="2"/>
  <c r="L187" i="2"/>
  <c r="L186" i="2"/>
  <c r="L185" i="2"/>
  <c r="L184" i="2"/>
  <c r="L177" i="2"/>
  <c r="L173" i="2"/>
  <c r="L169" i="2"/>
  <c r="L165" i="2"/>
  <c r="L161" i="2"/>
  <c r="L157" i="2"/>
  <c r="L153" i="2"/>
  <c r="L149" i="2"/>
  <c r="M142" i="2"/>
  <c r="L138" i="2"/>
  <c r="L134" i="2"/>
  <c r="L130" i="2"/>
  <c r="L126" i="2"/>
  <c r="L119" i="2"/>
  <c r="L117" i="2"/>
  <c r="L115" i="2"/>
  <c r="L114" i="2"/>
  <c r="L113" i="2"/>
  <c r="L109" i="2"/>
  <c r="L107" i="2"/>
  <c r="L104" i="2"/>
  <c r="L103" i="2"/>
  <c r="L101" i="2"/>
  <c r="L100" i="2"/>
  <c r="L99" i="2"/>
  <c r="L95" i="2"/>
  <c r="L93" i="2"/>
  <c r="L91" i="2"/>
  <c r="L90" i="2"/>
  <c r="L89" i="2"/>
  <c r="L87" i="2"/>
  <c r="L86" i="2"/>
  <c r="L85" i="2"/>
  <c r="L81" i="2"/>
  <c r="L80" i="2"/>
  <c r="L79" i="2"/>
  <c r="L77" i="2"/>
  <c r="L76" i="2"/>
  <c r="L74" i="2"/>
  <c r="L73" i="2"/>
  <c r="L72" i="2"/>
  <c r="L70" i="2"/>
  <c r="L69" i="2"/>
  <c r="L68" i="2"/>
  <c r="L67" i="2"/>
  <c r="L66" i="2"/>
  <c r="L64" i="2"/>
  <c r="L63" i="2"/>
  <c r="L59" i="2"/>
  <c r="L58" i="2"/>
  <c r="L57" i="2"/>
  <c r="L56" i="2"/>
  <c r="L54" i="2"/>
  <c r="L53" i="2"/>
  <c r="L51" i="2"/>
  <c r="L50" i="2"/>
  <c r="L48" i="2"/>
  <c r="L47" i="2"/>
  <c r="L46" i="2"/>
  <c r="L45" i="2"/>
  <c r="L44" i="2"/>
  <c r="L42" i="2"/>
  <c r="L41" i="2"/>
  <c r="L37" i="2"/>
  <c r="L35" i="2"/>
  <c r="L33" i="2"/>
  <c r="L32" i="2"/>
  <c r="L31" i="2"/>
  <c r="M26" i="2"/>
  <c r="M24" i="2"/>
  <c r="M23" i="2"/>
  <c r="M21" i="2"/>
  <c r="M19" i="2"/>
  <c r="M18" i="2"/>
  <c r="M17" i="2"/>
  <c r="L212" i="1"/>
  <c r="L208" i="1"/>
  <c r="L207" i="1"/>
  <c r="L200" i="1"/>
  <c r="M196" i="1"/>
  <c r="M195" i="1"/>
  <c r="L193" i="1"/>
  <c r="M189" i="1"/>
  <c r="M188" i="1"/>
  <c r="L186" i="1"/>
  <c r="L185" i="1"/>
  <c r="L184" i="1"/>
  <c r="M180" i="1"/>
  <c r="M179" i="1"/>
  <c r="L177" i="1"/>
  <c r="L176" i="1"/>
  <c r="M172" i="1"/>
  <c r="M171" i="1"/>
  <c r="L169" i="1"/>
  <c r="L168" i="1"/>
  <c r="L167" i="1"/>
  <c r="M163" i="1"/>
  <c r="M162" i="1"/>
  <c r="M161" i="1"/>
  <c r="L159" i="1"/>
  <c r="L158" i="1"/>
  <c r="L157" i="1"/>
  <c r="L156" i="1"/>
  <c r="L149" i="1"/>
  <c r="L145" i="1"/>
  <c r="L141" i="1"/>
  <c r="L137" i="1"/>
  <c r="L133" i="1"/>
  <c r="L129" i="1"/>
  <c r="L125" i="1"/>
  <c r="L121" i="1"/>
  <c r="L117" i="1"/>
  <c r="M110" i="1"/>
  <c r="L106" i="1"/>
  <c r="L102" i="1"/>
  <c r="L98" i="1"/>
  <c r="L94" i="1"/>
  <c r="L87" i="1"/>
  <c r="L85" i="1"/>
  <c r="L83" i="1"/>
  <c r="L81" i="1"/>
  <c r="L80" i="1"/>
  <c r="L76" i="1"/>
  <c r="L74" i="1"/>
  <c r="L72" i="1"/>
  <c r="L71" i="1"/>
  <c r="L70" i="1"/>
  <c r="L66" i="1"/>
  <c r="L65" i="1"/>
  <c r="L64" i="1"/>
  <c r="L62" i="1"/>
  <c r="L61" i="1"/>
  <c r="L59" i="1"/>
  <c r="L58" i="1"/>
  <c r="L57" i="1"/>
  <c r="L55" i="1"/>
  <c r="L54" i="1"/>
  <c r="L53" i="1"/>
  <c r="L52" i="1"/>
  <c r="L51" i="1"/>
  <c r="L49" i="1"/>
  <c r="L48" i="1"/>
  <c r="L44" i="1"/>
  <c r="L43" i="1"/>
  <c r="L42" i="1"/>
  <c r="L41" i="1"/>
  <c r="L40" i="1"/>
  <c r="L38" i="1"/>
  <c r="L36" i="1"/>
  <c r="L34" i="1"/>
  <c r="L33" i="1"/>
  <c r="L31" i="1"/>
  <c r="L30" i="1"/>
  <c r="M25" i="1"/>
  <c r="M23" i="1"/>
  <c r="M21" i="1"/>
  <c r="M19" i="1"/>
  <c r="M18" i="1"/>
  <c r="M17" i="1"/>
  <c r="L122" i="12"/>
  <c r="L115" i="12"/>
  <c r="M111" i="12"/>
  <c r="M110" i="12"/>
  <c r="M109" i="12"/>
  <c r="L107" i="12"/>
  <c r="L106" i="12"/>
  <c r="L105" i="12"/>
  <c r="L104" i="12"/>
  <c r="M100" i="12"/>
  <c r="M99" i="12"/>
  <c r="M98" i="12"/>
  <c r="L96" i="12"/>
  <c r="L95" i="12"/>
  <c r="L94" i="12"/>
  <c r="L93" i="12"/>
  <c r="L86" i="12"/>
  <c r="L82" i="12"/>
  <c r="L78" i="12"/>
  <c r="M71" i="12"/>
  <c r="L67" i="12"/>
  <c r="L60" i="12"/>
  <c r="L55" i="12"/>
  <c r="L53" i="12"/>
  <c r="L48" i="12"/>
  <c r="L47" i="12"/>
  <c r="L46" i="12"/>
  <c r="L45" i="12"/>
  <c r="L44" i="12"/>
  <c r="L42" i="12"/>
  <c r="L40" i="12"/>
  <c r="L37" i="12"/>
  <c r="L38" i="12"/>
  <c r="L36" i="12"/>
  <c r="L34" i="12"/>
  <c r="L26" i="12"/>
  <c r="L30" i="12"/>
  <c r="L28" i="12"/>
  <c r="L25" i="12"/>
  <c r="L24" i="12"/>
  <c r="M19" i="12"/>
  <c r="M17" i="12"/>
  <c r="L146" i="16"/>
  <c r="L142" i="16"/>
  <c r="L135" i="16"/>
  <c r="M131" i="16"/>
  <c r="M130" i="16"/>
  <c r="L128" i="16"/>
  <c r="L127" i="16"/>
  <c r="L126" i="16"/>
  <c r="M122" i="16"/>
  <c r="M121" i="16"/>
  <c r="M120" i="16"/>
  <c r="L118" i="16"/>
  <c r="L117" i="16"/>
  <c r="L116" i="16"/>
  <c r="L115" i="16"/>
  <c r="L108" i="16"/>
  <c r="L104" i="16"/>
  <c r="L100" i="16"/>
  <c r="L93" i="16"/>
  <c r="L89" i="16"/>
  <c r="L85" i="16"/>
  <c r="L81" i="16"/>
  <c r="L74" i="16"/>
  <c r="L70" i="16"/>
  <c r="L66" i="16"/>
  <c r="L65" i="16"/>
  <c r="L64" i="16"/>
  <c r="L62" i="16"/>
  <c r="L60" i="16"/>
  <c r="L59" i="16"/>
  <c r="L57" i="16"/>
  <c r="L55" i="16"/>
  <c r="L54" i="16"/>
  <c r="L50" i="16"/>
  <c r="L49" i="16"/>
  <c r="L47" i="16"/>
  <c r="L45" i="16"/>
  <c r="L44" i="16"/>
  <c r="L42" i="16"/>
  <c r="L40" i="16"/>
  <c r="L39" i="16"/>
  <c r="L35" i="16"/>
  <c r="L33" i="16"/>
  <c r="L31" i="16"/>
  <c r="L30" i="16"/>
  <c r="L29" i="16"/>
  <c r="L24" i="16"/>
  <c r="M22" i="16"/>
  <c r="M20" i="16"/>
  <c r="M18" i="16"/>
  <c r="M17" i="16"/>
  <c r="L90" i="15"/>
  <c r="L86" i="15"/>
  <c r="L82" i="15"/>
  <c r="L78" i="15"/>
  <c r="L71" i="15"/>
  <c r="M67" i="15"/>
  <c r="M66" i="15"/>
  <c r="M65" i="15"/>
  <c r="M64" i="15"/>
  <c r="M63" i="15"/>
  <c r="L61" i="15"/>
  <c r="L60" i="15"/>
  <c r="L59" i="15"/>
  <c r="L58" i="15"/>
  <c r="L57" i="15"/>
  <c r="L43" i="15"/>
  <c r="L36" i="15"/>
  <c r="L34" i="15"/>
  <c r="L32" i="15"/>
  <c r="L31" i="15"/>
  <c r="L30" i="15"/>
  <c r="L28" i="15"/>
  <c r="L27" i="15"/>
  <c r="L25" i="15"/>
  <c r="L24" i="15"/>
  <c r="L19" i="15"/>
  <c r="L17" i="15"/>
  <c r="L109" i="11"/>
  <c r="L102" i="11"/>
  <c r="M98" i="11"/>
  <c r="M97" i="11"/>
  <c r="L95" i="11"/>
  <c r="L94" i="11"/>
  <c r="L93" i="11"/>
  <c r="L86" i="11"/>
  <c r="L82" i="11"/>
  <c r="L78" i="11"/>
  <c r="L71" i="11"/>
  <c r="L67" i="11"/>
  <c r="L63" i="11"/>
  <c r="L56" i="11"/>
  <c r="L54" i="11"/>
  <c r="L52" i="11"/>
  <c r="L51" i="11"/>
  <c r="L50" i="11"/>
  <c r="L46" i="11"/>
  <c r="L42" i="11"/>
  <c r="L38" i="11"/>
  <c r="L37" i="11"/>
  <c r="L35" i="11"/>
  <c r="L33" i="11"/>
  <c r="L32" i="11"/>
  <c r="L31" i="11"/>
  <c r="L29" i="11"/>
  <c r="L27" i="11"/>
  <c r="L26" i="11"/>
  <c r="L25" i="11"/>
  <c r="L20" i="11"/>
  <c r="M18" i="11"/>
  <c r="M17" i="11"/>
  <c r="L103" i="8"/>
  <c r="M99" i="8"/>
  <c r="L97" i="8"/>
  <c r="M93" i="8"/>
  <c r="M92" i="8"/>
  <c r="L90" i="8"/>
  <c r="L89" i="8"/>
  <c r="L88" i="8"/>
  <c r="L81" i="8"/>
  <c r="L77" i="8"/>
  <c r="L70" i="8"/>
  <c r="L66" i="8"/>
  <c r="L59" i="8"/>
  <c r="L57" i="8"/>
  <c r="L55" i="8"/>
  <c r="L54" i="8"/>
  <c r="L53" i="8"/>
  <c r="L49" i="8"/>
  <c r="L47" i="8"/>
  <c r="L45" i="8"/>
  <c r="L40" i="8"/>
  <c r="L41" i="8"/>
  <c r="L39" i="8"/>
  <c r="L37" i="8"/>
  <c r="L35" i="8"/>
  <c r="L33" i="8"/>
  <c r="L28" i="8"/>
  <c r="L26" i="8"/>
  <c r="L21" i="8"/>
  <c r="L19" i="8"/>
  <c r="M17" i="8"/>
  <c r="L139" i="10"/>
  <c r="M135" i="10"/>
  <c r="M134" i="10"/>
  <c r="L132" i="10"/>
  <c r="L131" i="10"/>
  <c r="L124" i="10"/>
  <c r="L120" i="10"/>
  <c r="L116" i="10"/>
  <c r="L112" i="10"/>
  <c r="L105" i="10"/>
  <c r="L101" i="10"/>
  <c r="L94" i="10"/>
  <c r="L92" i="10"/>
  <c r="L87" i="10"/>
  <c r="L85" i="10"/>
  <c r="L83" i="10"/>
  <c r="L81" i="10"/>
  <c r="L77" i="10"/>
  <c r="L73" i="10"/>
  <c r="L69" i="10"/>
  <c r="L67" i="10"/>
  <c r="L65" i="10"/>
  <c r="L64" i="10"/>
  <c r="L60" i="10"/>
  <c r="L56" i="10"/>
  <c r="L54" i="10"/>
  <c r="L52" i="10"/>
  <c r="L48" i="10"/>
  <c r="L46" i="10"/>
  <c r="L44" i="10"/>
  <c r="L40" i="10"/>
  <c r="L38" i="10"/>
  <c r="L37" i="10"/>
  <c r="L36" i="10"/>
  <c r="L32" i="10"/>
  <c r="L30" i="10"/>
  <c r="L28" i="10"/>
  <c r="L27" i="10"/>
  <c r="L26" i="10"/>
  <c r="M21" i="10"/>
  <c r="M19" i="10"/>
  <c r="M18" i="10"/>
  <c r="M17" i="10"/>
  <c r="L79" i="9"/>
  <c r="M75" i="9"/>
  <c r="L73" i="9"/>
  <c r="L72" i="9"/>
  <c r="L71" i="9"/>
  <c r="L56" i="9"/>
  <c r="L49" i="9"/>
  <c r="L47" i="9"/>
  <c r="L43" i="9"/>
  <c r="L39" i="9"/>
  <c r="L38" i="9"/>
  <c r="L36" i="9"/>
  <c r="L35" i="9"/>
  <c r="L34" i="9"/>
  <c r="L30" i="9"/>
  <c r="L28" i="9"/>
  <c r="L26" i="9"/>
  <c r="L25" i="9"/>
  <c r="L24" i="9"/>
  <c r="L19" i="9"/>
  <c r="M17" i="9"/>
  <c r="L107" i="7"/>
  <c r="M103" i="7"/>
  <c r="M102" i="7"/>
  <c r="M101" i="7"/>
  <c r="L99" i="7"/>
  <c r="L98" i="7"/>
  <c r="L97" i="7"/>
  <c r="L96" i="7"/>
  <c r="M92" i="7"/>
  <c r="M91" i="7"/>
  <c r="L89" i="7"/>
  <c r="L88" i="7"/>
  <c r="L87" i="7"/>
  <c r="L72" i="7"/>
  <c r="L68" i="7"/>
  <c r="L61" i="7"/>
  <c r="L59" i="7"/>
  <c r="L57" i="7"/>
  <c r="L56" i="7"/>
  <c r="L55" i="7"/>
  <c r="L50" i="7"/>
  <c r="L48" i="7"/>
  <c r="L44" i="7"/>
  <c r="L43" i="7"/>
  <c r="L41" i="7"/>
  <c r="L39" i="7"/>
  <c r="L35" i="7"/>
  <c r="L34" i="7"/>
  <c r="L32" i="7"/>
  <c r="L31" i="7"/>
  <c r="L29" i="7"/>
  <c r="M24" i="7"/>
  <c r="L22" i="7"/>
  <c r="L21" i="7"/>
  <c r="L20" i="7"/>
  <c r="L19" i="7"/>
  <c r="L18" i="7"/>
  <c r="L17" i="7"/>
  <c r="L85" i="5"/>
  <c r="L81" i="5"/>
  <c r="L80" i="5"/>
  <c r="L73" i="5"/>
  <c r="L59" i="5"/>
  <c r="L58" i="5"/>
  <c r="L57" i="5"/>
  <c r="L55" i="5"/>
  <c r="L53" i="5"/>
  <c r="L52" i="5"/>
  <c r="L50" i="5"/>
  <c r="L49" i="5"/>
  <c r="L48" i="5"/>
  <c r="L47" i="5"/>
  <c r="L45" i="5"/>
  <c r="L44" i="5"/>
  <c r="L40" i="5"/>
  <c r="L39" i="5"/>
  <c r="L38" i="5"/>
  <c r="L37" i="5"/>
  <c r="L36" i="5"/>
  <c r="L34" i="5"/>
  <c r="L32" i="5"/>
  <c r="L30" i="5"/>
  <c r="L29" i="5"/>
  <c r="L28" i="5"/>
  <c r="L27" i="5"/>
  <c r="L26" i="5"/>
  <c r="L24" i="5"/>
  <c r="L19" i="5"/>
  <c r="M17" i="5"/>
  <c r="L73" i="6"/>
  <c r="M69" i="6"/>
  <c r="M68" i="6"/>
  <c r="M67" i="6"/>
  <c r="L65" i="6"/>
  <c r="L64" i="6"/>
  <c r="L63" i="6"/>
  <c r="L62" i="6"/>
  <c r="L48" i="6"/>
  <c r="L41" i="6"/>
  <c r="L40" i="6"/>
  <c r="L39" i="6"/>
  <c r="L37" i="6"/>
  <c r="L33" i="6"/>
  <c r="L31" i="6"/>
  <c r="L29" i="6"/>
  <c r="L28" i="6"/>
  <c r="L27" i="6"/>
  <c r="M22" i="6"/>
  <c r="M20" i="6"/>
  <c r="M18" i="6"/>
  <c r="M17" i="6"/>
  <c r="L21" i="12" l="1"/>
  <c r="M37" i="7"/>
  <c r="L37" i="7"/>
  <c r="J50" i="7" l="1"/>
  <c r="J28" i="8"/>
  <c r="J55" i="12"/>
  <c r="J48" i="7"/>
  <c r="J53" i="12"/>
  <c r="J26" i="8" l="1"/>
  <c r="F17" i="17" l="1"/>
  <c r="L15" i="17" l="1"/>
  <c r="K15" i="17"/>
  <c r="J15" i="17"/>
  <c r="I15" i="17"/>
  <c r="H15" i="17"/>
  <c r="F16" i="17"/>
  <c r="F15" i="17"/>
  <c r="M174" i="17"/>
  <c r="L174" i="17"/>
  <c r="M170" i="17"/>
  <c r="L170" i="17"/>
  <c r="M81" i="9" l="1"/>
  <c r="M84" i="6"/>
  <c r="L84" i="6"/>
  <c r="L82" i="6"/>
  <c r="M82" i="6"/>
  <c r="L75" i="6"/>
  <c r="M75" i="6"/>
  <c r="M59" i="6"/>
  <c r="L59" i="6"/>
  <c r="L57" i="6"/>
  <c r="M57" i="6"/>
  <c r="M50" i="6"/>
  <c r="M52" i="6" s="1"/>
  <c r="M43" i="6"/>
  <c r="M35" i="6"/>
  <c r="L24" i="6"/>
  <c r="L5" i="6" s="1"/>
  <c r="M83" i="5"/>
  <c r="M89" i="5" s="1"/>
  <c r="L96" i="5"/>
  <c r="M96" i="5"/>
  <c r="M94" i="5"/>
  <c r="L94" i="5"/>
  <c r="M87" i="5"/>
  <c r="M75" i="5"/>
  <c r="M77" i="5" s="1"/>
  <c r="M70" i="5"/>
  <c r="L70" i="5"/>
  <c r="L68" i="5"/>
  <c r="M68" i="5"/>
  <c r="M61" i="5"/>
  <c r="M42" i="5"/>
  <c r="M91" i="4"/>
  <c r="L91" i="4"/>
  <c r="L89" i="4"/>
  <c r="M89" i="4"/>
  <c r="M82" i="4"/>
  <c r="M66" i="4"/>
  <c r="L66" i="4"/>
  <c r="L64" i="4"/>
  <c r="M64" i="4"/>
  <c r="M57" i="4"/>
  <c r="M53" i="4"/>
  <c r="M49" i="4"/>
  <c r="M42" i="4"/>
  <c r="M38" i="4"/>
  <c r="M34" i="4"/>
  <c r="M207" i="3"/>
  <c r="M205" i="3"/>
  <c r="M201" i="3"/>
  <c r="M194" i="3"/>
  <c r="M174" i="3"/>
  <c r="M140" i="3"/>
  <c r="M133" i="3"/>
  <c r="L133" i="3"/>
  <c r="M129" i="3"/>
  <c r="M125" i="3"/>
  <c r="M121" i="3"/>
  <c r="M103" i="3"/>
  <c r="L81" i="3"/>
  <c r="M66" i="3"/>
  <c r="M52" i="3"/>
  <c r="M38" i="3"/>
  <c r="L27" i="3"/>
  <c r="M235" i="2"/>
  <c r="M237" i="2" s="1"/>
  <c r="M228" i="2"/>
  <c r="M179" i="2"/>
  <c r="M175" i="2"/>
  <c r="M171" i="2"/>
  <c r="M167" i="2"/>
  <c r="M163" i="2"/>
  <c r="M159" i="2"/>
  <c r="M155" i="2"/>
  <c r="M151" i="2"/>
  <c r="L144" i="2"/>
  <c r="M144" i="2"/>
  <c r="M140" i="2"/>
  <c r="M136" i="2"/>
  <c r="M132" i="2"/>
  <c r="M128" i="2"/>
  <c r="M121" i="2"/>
  <c r="M111" i="2"/>
  <c r="M97" i="2"/>
  <c r="M83" i="2"/>
  <c r="M61" i="2"/>
  <c r="M39" i="2"/>
  <c r="L28" i="2"/>
  <c r="M216" i="1"/>
  <c r="M214" i="1"/>
  <c r="M210" i="1"/>
  <c r="M202" i="1"/>
  <c r="M151" i="1"/>
  <c r="M147" i="1"/>
  <c r="M143" i="1"/>
  <c r="M139" i="1"/>
  <c r="M135" i="1"/>
  <c r="M131" i="1"/>
  <c r="M127" i="1"/>
  <c r="M123" i="1"/>
  <c r="M119" i="1"/>
  <c r="M112" i="1"/>
  <c r="L112" i="1"/>
  <c r="M108" i="1"/>
  <c r="M104" i="1"/>
  <c r="M100" i="1"/>
  <c r="M96" i="1"/>
  <c r="M89" i="1"/>
  <c r="M78" i="1"/>
  <c r="M68" i="1"/>
  <c r="M46" i="1"/>
  <c r="L27" i="1"/>
  <c r="M63" i="5" l="1"/>
  <c r="M59" i="4"/>
  <c r="M44" i="4"/>
  <c r="M135" i="3"/>
  <c r="M146" i="2"/>
  <c r="M181" i="2"/>
  <c r="M153" i="1"/>
  <c r="M114" i="1"/>
  <c r="M91" i="1"/>
  <c r="M45" i="6"/>
  <c r="M142" i="12"/>
  <c r="M140" i="12"/>
  <c r="L140" i="12"/>
  <c r="L136" i="12"/>
  <c r="M136" i="12"/>
  <c r="M132" i="12"/>
  <c r="L132" i="12"/>
  <c r="L128" i="12"/>
  <c r="M128" i="12"/>
  <c r="M124" i="12"/>
  <c r="M117" i="12"/>
  <c r="M88" i="12"/>
  <c r="M84" i="12"/>
  <c r="M80" i="12"/>
  <c r="M90" i="12" s="1"/>
  <c r="L73" i="12"/>
  <c r="M73" i="12"/>
  <c r="M69" i="12"/>
  <c r="M75" i="12" s="1"/>
  <c r="M62" i="12"/>
  <c r="M57" i="12"/>
  <c r="M58" i="12" s="1"/>
  <c r="M50" i="12"/>
  <c r="M51" i="12" s="1"/>
  <c r="M32" i="12"/>
  <c r="M26" i="7"/>
  <c r="M150" i="16"/>
  <c r="M148" i="16"/>
  <c r="M144" i="16"/>
  <c r="M137" i="16"/>
  <c r="M110" i="16"/>
  <c r="L110" i="16"/>
  <c r="M106" i="16"/>
  <c r="M112" i="16" s="1"/>
  <c r="M102" i="16"/>
  <c r="M83" i="16"/>
  <c r="M87" i="16"/>
  <c r="M91" i="16"/>
  <c r="M95" i="16"/>
  <c r="M76" i="16"/>
  <c r="M72" i="16"/>
  <c r="M68" i="16"/>
  <c r="M37" i="16"/>
  <c r="M73" i="15"/>
  <c r="M45" i="15"/>
  <c r="M47" i="15" s="1"/>
  <c r="M38" i="15"/>
  <c r="M40" i="15" s="1"/>
  <c r="M21" i="15"/>
  <c r="M111" i="11"/>
  <c r="M113" i="11" s="1"/>
  <c r="M104" i="11"/>
  <c r="M88" i="11"/>
  <c r="M84" i="11"/>
  <c r="M80" i="11"/>
  <c r="M65" i="11"/>
  <c r="M69" i="11"/>
  <c r="M73" i="11"/>
  <c r="M58" i="11"/>
  <c r="M48" i="11"/>
  <c r="M44" i="11"/>
  <c r="M40" i="11"/>
  <c r="M105" i="8"/>
  <c r="M83" i="8"/>
  <c r="M79" i="8"/>
  <c r="M72" i="8"/>
  <c r="M68" i="8"/>
  <c r="M74" i="8" s="1"/>
  <c r="M61" i="8"/>
  <c r="M51" i="8"/>
  <c r="M43" i="8"/>
  <c r="M30" i="8"/>
  <c r="M150" i="10"/>
  <c r="L150" i="10"/>
  <c r="L148" i="10"/>
  <c r="M148" i="10"/>
  <c r="M141" i="10"/>
  <c r="M126" i="10"/>
  <c r="M122" i="10"/>
  <c r="M118" i="10"/>
  <c r="M109" i="10"/>
  <c r="M107" i="10"/>
  <c r="M103" i="10"/>
  <c r="M96" i="10"/>
  <c r="M90" i="10"/>
  <c r="M79" i="10"/>
  <c r="M75" i="10"/>
  <c r="M71" i="10"/>
  <c r="M62" i="10"/>
  <c r="M58" i="10"/>
  <c r="M50" i="10"/>
  <c r="M42" i="10"/>
  <c r="M34" i="10"/>
  <c r="L23" i="10"/>
  <c r="L5" i="10"/>
  <c r="M90" i="9"/>
  <c r="L90" i="9"/>
  <c r="L88" i="9"/>
  <c r="M88" i="9"/>
  <c r="L81" i="9"/>
  <c r="L68" i="9"/>
  <c r="M68" i="9"/>
  <c r="M65" i="9"/>
  <c r="L65" i="9"/>
  <c r="M58" i="9"/>
  <c r="M60" i="9" s="1"/>
  <c r="M51" i="9"/>
  <c r="M45" i="9"/>
  <c r="M41" i="9"/>
  <c r="L32" i="9"/>
  <c r="M32" i="9"/>
  <c r="M64" i="12" l="1"/>
  <c r="M97" i="16"/>
  <c r="M90" i="11"/>
  <c r="M75" i="11"/>
  <c r="M60" i="11"/>
  <c r="M85" i="8"/>
  <c r="M98" i="10"/>
  <c r="M53" i="9"/>
  <c r="L205" i="3"/>
  <c r="L201" i="3"/>
  <c r="L207" i="3" l="1"/>
  <c r="L210" i="1"/>
  <c r="L105" i="7"/>
  <c r="L84" i="7"/>
  <c r="M84" i="7"/>
  <c r="M81" i="7"/>
  <c r="L81" i="7"/>
  <c r="M76" i="7"/>
  <c r="M74" i="7"/>
  <c r="M70" i="7"/>
  <c r="M63" i="7"/>
  <c r="M52" i="7"/>
  <c r="M53" i="7" s="1"/>
  <c r="L46" i="7"/>
  <c r="M46" i="7"/>
  <c r="L26" i="7"/>
  <c r="M65" i="7" l="1"/>
  <c r="L76" i="16" l="1"/>
  <c r="M21" i="9" l="1"/>
  <c r="J87" i="10" l="1"/>
  <c r="J85" i="10"/>
  <c r="J49" i="9"/>
  <c r="J47" i="9"/>
  <c r="J124" i="10" l="1"/>
  <c r="M23" i="8"/>
  <c r="J43" i="15"/>
  <c r="J66" i="16"/>
  <c r="J19" i="4"/>
  <c r="M61" i="20" l="1"/>
  <c r="L61" i="20"/>
  <c r="L60" i="20"/>
  <c r="M59" i="20"/>
  <c r="M60" i="20"/>
  <c r="M63" i="20" l="1"/>
  <c r="L87" i="5"/>
  <c r="L82" i="4"/>
  <c r="L194" i="3"/>
  <c r="L228" i="2"/>
  <c r="L202" i="1"/>
  <c r="L117" i="12"/>
  <c r="L137" i="16"/>
  <c r="L73" i="15"/>
  <c r="L104" i="11"/>
  <c r="L105" i="8"/>
  <c r="L141" i="10"/>
  <c r="L109" i="7" l="1"/>
  <c r="M109" i="7"/>
  <c r="L59" i="20"/>
  <c r="L63" i="20" s="1"/>
  <c r="L65" i="20" s="1"/>
  <c r="J32" i="11" l="1"/>
  <c r="L51" i="9" l="1"/>
  <c r="J43" i="7" l="1"/>
  <c r="J44" i="7" l="1"/>
  <c r="J134" i="2" l="1"/>
  <c r="J93" i="16"/>
  <c r="L95" i="16" s="1"/>
  <c r="J70" i="8"/>
  <c r="L72" i="8" s="1"/>
  <c r="L136" i="2" l="1"/>
  <c r="J83" i="10"/>
  <c r="L96" i="10"/>
  <c r="J18" i="6" l="1"/>
  <c r="J17" i="6"/>
  <c r="J21" i="4"/>
  <c r="J19" i="3"/>
  <c r="J18" i="3"/>
  <c r="J17" i="3"/>
  <c r="J19" i="2"/>
  <c r="J18" i="2"/>
  <c r="J18" i="1"/>
  <c r="J17" i="2"/>
  <c r="J18" i="16"/>
  <c r="J17" i="16"/>
  <c r="J20" i="16"/>
  <c r="J24" i="16"/>
  <c r="J19" i="15"/>
  <c r="J18" i="11"/>
  <c r="J17" i="11"/>
  <c r="J20" i="11"/>
  <c r="J19" i="8"/>
  <c r="J20" i="7"/>
  <c r="J17" i="7"/>
  <c r="L148" i="16"/>
  <c r="L235" i="2"/>
  <c r="L237" i="2" s="1"/>
  <c r="M120" i="7"/>
  <c r="L120" i="7"/>
  <c r="L214" i="1"/>
  <c r="L216" i="1" s="1"/>
  <c r="J54" i="3" l="1"/>
  <c r="J40" i="3"/>
  <c r="J99" i="2"/>
  <c r="J85" i="2"/>
  <c r="J32" i="10"/>
  <c r="J28" i="10"/>
  <c r="J27" i="10"/>
  <c r="J26" i="10"/>
  <c r="J30" i="10" s="1"/>
  <c r="J61" i="7"/>
  <c r="J57" i="7"/>
  <c r="J56" i="7"/>
  <c r="J55" i="7"/>
  <c r="J59" i="7" s="1"/>
  <c r="J30" i="9"/>
  <c r="J26" i="9"/>
  <c r="J25" i="9"/>
  <c r="J24" i="9"/>
  <c r="J28" i="9" s="1"/>
  <c r="J59" i="8"/>
  <c r="J55" i="8"/>
  <c r="J54" i="8"/>
  <c r="J53" i="8"/>
  <c r="J57" i="8" s="1"/>
  <c r="J56" i="11"/>
  <c r="J52" i="11"/>
  <c r="J51" i="11"/>
  <c r="J50" i="11"/>
  <c r="J54" i="11" s="1"/>
  <c r="J35" i="16"/>
  <c r="J31" i="16"/>
  <c r="J30" i="16"/>
  <c r="J29" i="16"/>
  <c r="J33" i="16" s="1"/>
  <c r="J30" i="12"/>
  <c r="J26" i="12"/>
  <c r="J25" i="12"/>
  <c r="J24" i="12"/>
  <c r="J28" i="12" s="1"/>
  <c r="J76" i="1"/>
  <c r="J72" i="1"/>
  <c r="J71" i="1"/>
  <c r="J70" i="1"/>
  <c r="J74" i="1" s="1"/>
  <c r="J37" i="2"/>
  <c r="J33" i="2"/>
  <c r="J32" i="2"/>
  <c r="J31" i="2"/>
  <c r="J35" i="2" s="1"/>
  <c r="J119" i="2"/>
  <c r="J115" i="2"/>
  <c r="J114" i="2"/>
  <c r="J113" i="2"/>
  <c r="J117" i="2" s="1"/>
  <c r="J36" i="3"/>
  <c r="J32" i="3"/>
  <c r="J31" i="3"/>
  <c r="J30" i="3"/>
  <c r="J34" i="3" s="1"/>
  <c r="J32" i="4"/>
  <c r="J28" i="4"/>
  <c r="J27" i="4"/>
  <c r="J26" i="4"/>
  <c r="J30" i="4" s="1"/>
  <c r="J29" i="6"/>
  <c r="J34" i="12"/>
  <c r="J48" i="6" l="1"/>
  <c r="J55" i="4"/>
  <c r="J51" i="4"/>
  <c r="J47" i="4"/>
  <c r="J119" i="3"/>
  <c r="J127" i="3"/>
  <c r="J123" i="3"/>
  <c r="J126" i="2"/>
  <c r="J130" i="2"/>
  <c r="J138" i="2"/>
  <c r="J94" i="1"/>
  <c r="J30" i="1"/>
  <c r="J106" i="1"/>
  <c r="J98" i="1"/>
  <c r="J102" i="1"/>
  <c r="J67" i="12"/>
  <c r="J89" i="16"/>
  <c r="J81" i="16"/>
  <c r="J85" i="16"/>
  <c r="J71" i="11"/>
  <c r="L73" i="11"/>
  <c r="J67" i="11"/>
  <c r="J63" i="11"/>
  <c r="J66" i="8"/>
  <c r="J105" i="10"/>
  <c r="J101" i="10"/>
  <c r="J56" i="9"/>
  <c r="J72" i="7"/>
  <c r="J68" i="7"/>
  <c r="J19" i="10"/>
  <c r="J21" i="10"/>
  <c r="J17" i="10"/>
  <c r="J77" i="10"/>
  <c r="J69" i="10"/>
  <c r="J65" i="10"/>
  <c r="J64" i="10"/>
  <c r="J67" i="10" s="1"/>
  <c r="J54" i="10"/>
  <c r="J52" i="10"/>
  <c r="J56" i="10" s="1"/>
  <c r="J44" i="10"/>
  <c r="J48" i="10" s="1"/>
  <c r="J46" i="10"/>
  <c r="J38" i="10"/>
  <c r="J37" i="10"/>
  <c r="J36" i="10"/>
  <c r="J41" i="6"/>
  <c r="J40" i="6"/>
  <c r="J39" i="6"/>
  <c r="J19" i="5"/>
  <c r="J55" i="5"/>
  <c r="J45" i="5"/>
  <c r="J44" i="5"/>
  <c r="J53" i="5" s="1"/>
  <c r="J50" i="5"/>
  <c r="J49" i="5"/>
  <c r="J48" i="5"/>
  <c r="J47" i="5"/>
  <c r="J37" i="5"/>
  <c r="J34" i="5"/>
  <c r="J30" i="5"/>
  <c r="J29" i="5"/>
  <c r="J28" i="5"/>
  <c r="J27" i="5"/>
  <c r="J26" i="5"/>
  <c r="J24" i="5"/>
  <c r="L42" i="4"/>
  <c r="J58" i="3"/>
  <c r="J56" i="3"/>
  <c r="J101" i="2"/>
  <c r="J87" i="2"/>
  <c r="J42" i="3"/>
  <c r="J55" i="3"/>
  <c r="J41" i="3"/>
  <c r="J60" i="3"/>
  <c r="J105" i="2"/>
  <c r="J46" i="3"/>
  <c r="J44" i="3"/>
  <c r="J111" i="3"/>
  <c r="J112" i="3"/>
  <c r="J107" i="3"/>
  <c r="J105" i="3"/>
  <c r="J97" i="3"/>
  <c r="J96" i="3"/>
  <c r="J57" i="1"/>
  <c r="J72" i="2"/>
  <c r="J92" i="3"/>
  <c r="J94" i="3"/>
  <c r="J83" i="3"/>
  <c r="J89" i="3"/>
  <c r="J88" i="3"/>
  <c r="J87" i="3"/>
  <c r="J90" i="3"/>
  <c r="J86" i="3"/>
  <c r="J84" i="3"/>
  <c r="J93" i="3" s="1"/>
  <c r="J66" i="2"/>
  <c r="J77" i="2"/>
  <c r="J58" i="1"/>
  <c r="J48" i="1"/>
  <c r="J63" i="2"/>
  <c r="J74" i="2"/>
  <c r="J55" i="1"/>
  <c r="J70" i="2"/>
  <c r="J76" i="2"/>
  <c r="J61" i="1"/>
  <c r="J54" i="1"/>
  <c r="J53" i="1"/>
  <c r="J52" i="1"/>
  <c r="J62" i="1"/>
  <c r="J69" i="2"/>
  <c r="J68" i="2"/>
  <c r="J67" i="2"/>
  <c r="J64" i="2"/>
  <c r="J103" i="2"/>
  <c r="J89" i="2"/>
  <c r="J100" i="2"/>
  <c r="J86" i="2"/>
  <c r="J91" i="2"/>
  <c r="J56" i="2"/>
  <c r="J53" i="2"/>
  <c r="J54" i="2"/>
  <c r="J47" i="2"/>
  <c r="J48" i="2"/>
  <c r="J45" i="2"/>
  <c r="J46" i="2"/>
  <c r="J44" i="2"/>
  <c r="J42" i="2"/>
  <c r="J51" i="2" s="1"/>
  <c r="J41" i="2"/>
  <c r="J50" i="2" s="1"/>
  <c r="J17" i="1"/>
  <c r="J51" i="1"/>
  <c r="J49" i="1"/>
  <c r="J59" i="1"/>
  <c r="J81" i="1"/>
  <c r="J80" i="1"/>
  <c r="J85" i="1" s="1"/>
  <c r="J31" i="1"/>
  <c r="J43" i="1"/>
  <c r="J38" i="1"/>
  <c r="J34" i="1"/>
  <c r="J33" i="1"/>
  <c r="J42" i="12"/>
  <c r="J37" i="12"/>
  <c r="J40" i="12" s="1"/>
  <c r="J38" i="12"/>
  <c r="J36" i="12"/>
  <c r="J62" i="16"/>
  <c r="J60" i="16"/>
  <c r="J59" i="16"/>
  <c r="J54" i="16"/>
  <c r="J55" i="16"/>
  <c r="J47" i="16"/>
  <c r="J45" i="16"/>
  <c r="J40" i="16"/>
  <c r="J44" i="16"/>
  <c r="J39" i="16"/>
  <c r="J32" i="5" l="1"/>
  <c r="J52" i="5"/>
  <c r="J73" i="2"/>
  <c r="J62" i="3"/>
  <c r="J93" i="2"/>
  <c r="J40" i="10"/>
  <c r="J48" i="3"/>
  <c r="J107" i="2"/>
  <c r="J36" i="1"/>
  <c r="J34" i="15"/>
  <c r="J28" i="15"/>
  <c r="J27" i="15"/>
  <c r="J36" i="15"/>
  <c r="J24" i="15"/>
  <c r="J30" i="15" s="1"/>
  <c r="J25" i="15"/>
  <c r="J31" i="15" s="1"/>
  <c r="J42" i="11"/>
  <c r="J35" i="11"/>
  <c r="J37" i="11"/>
  <c r="J33" i="11"/>
  <c r="J29" i="11"/>
  <c r="J27" i="11"/>
  <c r="J31" i="11" s="1"/>
  <c r="J25" i="11"/>
  <c r="J26" i="11"/>
  <c r="J47" i="8"/>
  <c r="J45" i="8"/>
  <c r="J49" i="8" s="1"/>
  <c r="J35" i="8"/>
  <c r="J33" i="8"/>
  <c r="J37" i="8" s="1"/>
  <c r="J19" i="9"/>
  <c r="J39" i="9"/>
  <c r="J35" i="9"/>
  <c r="J34" i="9"/>
  <c r="J36" i="9"/>
  <c r="J33" i="6"/>
  <c r="J28" i="6"/>
  <c r="J27" i="6"/>
  <c r="J31" i="6" s="1"/>
  <c r="L52" i="7"/>
  <c r="L53" i="7" s="1"/>
  <c r="J22" i="7"/>
  <c r="J21" i="7"/>
  <c r="J19" i="7"/>
  <c r="J18" i="7"/>
  <c r="J39" i="7"/>
  <c r="J34" i="7"/>
  <c r="J32" i="7"/>
  <c r="J31" i="7"/>
  <c r="J29" i="7"/>
  <c r="L152" i="3"/>
  <c r="L140" i="3"/>
  <c r="L179" i="2"/>
  <c r="L175" i="2"/>
  <c r="L171" i="2"/>
  <c r="L167" i="2"/>
  <c r="L163" i="2"/>
  <c r="L159" i="2"/>
  <c r="L155" i="2"/>
  <c r="L151" i="2"/>
  <c r="L151" i="1"/>
  <c r="L143" i="1"/>
  <c r="L139" i="1"/>
  <c r="L127" i="1"/>
  <c r="L131" i="1"/>
  <c r="L123" i="1"/>
  <c r="L84" i="12"/>
  <c r="L84" i="11"/>
  <c r="L66" i="3" l="1"/>
  <c r="M160" i="3"/>
  <c r="L160" i="3"/>
  <c r="M156" i="3"/>
  <c r="L156" i="3"/>
  <c r="L162" i="3" s="1"/>
  <c r="M148" i="3"/>
  <c r="L148" i="3"/>
  <c r="M144" i="3"/>
  <c r="L144" i="3"/>
  <c r="L181" i="2"/>
  <c r="J32" i="15"/>
  <c r="J38" i="9"/>
  <c r="J35" i="7"/>
  <c r="M152" i="3"/>
  <c r="M162" i="3" l="1"/>
  <c r="M8" i="3" s="1"/>
  <c r="M131" i="17" s="1"/>
  <c r="M31" i="8"/>
  <c r="M63" i="8" s="1"/>
  <c r="L30" i="8"/>
  <c r="L31" i="8"/>
  <c r="L8" i="2"/>
  <c r="L122" i="17" s="1"/>
  <c r="M8" i="2"/>
  <c r="M122" i="17" s="1"/>
  <c r="L8" i="3"/>
  <c r="L131" i="17" s="1"/>
  <c r="L126" i="10"/>
  <c r="L10" i="4" l="1"/>
  <c r="L142" i="17" s="1"/>
  <c r="M10" i="4"/>
  <c r="M142" i="17" s="1"/>
  <c r="M198" i="1"/>
  <c r="M133" i="16"/>
  <c r="M124" i="16"/>
  <c r="L124" i="16" l="1"/>
  <c r="M139" i="16"/>
  <c r="L133" i="16"/>
  <c r="M94" i="7"/>
  <c r="L139" i="16" l="1"/>
  <c r="L9" i="16" s="1"/>
  <c r="L96" i="17" s="1"/>
  <c r="M105" i="7"/>
  <c r="M111" i="7" s="1"/>
  <c r="M9" i="16"/>
  <c r="M96" i="17" s="1"/>
  <c r="L72" i="16"/>
  <c r="L26" i="16"/>
  <c r="L144" i="16"/>
  <c r="L150" i="16" s="1"/>
  <c r="L106" i="16"/>
  <c r="L102" i="16"/>
  <c r="L112" i="16" s="1"/>
  <c r="L91" i="16"/>
  <c r="L87" i="16"/>
  <c r="L83" i="16"/>
  <c r="L92" i="15"/>
  <c r="M88" i="15"/>
  <c r="L88" i="15"/>
  <c r="M92" i="15"/>
  <c r="M94" i="15" s="1"/>
  <c r="M52" i="15"/>
  <c r="L52" i="15"/>
  <c r="M84" i="15"/>
  <c r="L84" i="15"/>
  <c r="M80" i="15"/>
  <c r="L80" i="15"/>
  <c r="L45" i="15"/>
  <c r="L47" i="15" s="1"/>
  <c r="L37" i="16" l="1"/>
  <c r="M26" i="16"/>
  <c r="M52" i="16"/>
  <c r="M78" i="16" s="1"/>
  <c r="L52" i="16"/>
  <c r="L68" i="16"/>
  <c r="L97" i="16"/>
  <c r="L38" i="15"/>
  <c r="L40" i="15" s="1"/>
  <c r="L21" i="15"/>
  <c r="L5" i="15" s="1"/>
  <c r="L83" i="17" s="1"/>
  <c r="L69" i="15"/>
  <c r="L75" i="15" s="1"/>
  <c r="L94" i="15"/>
  <c r="L10" i="15" s="1"/>
  <c r="L88" i="17" s="1"/>
  <c r="L54" i="15"/>
  <c r="L8" i="15" s="1"/>
  <c r="L86" i="17" s="1"/>
  <c r="M69" i="15"/>
  <c r="M75" i="15" s="1"/>
  <c r="M8" i="15"/>
  <c r="M86" i="17" s="1"/>
  <c r="M54" i="15"/>
  <c r="M10" i="16"/>
  <c r="M97" i="17" s="1"/>
  <c r="M5" i="16"/>
  <c r="M92" i="17" s="1"/>
  <c r="L5" i="16"/>
  <c r="L92" i="17" s="1"/>
  <c r="M10" i="15"/>
  <c r="M88" i="17" s="1"/>
  <c r="L6" i="15"/>
  <c r="M5" i="15"/>
  <c r="M7" i="15"/>
  <c r="M85" i="17" s="1"/>
  <c r="L7" i="15"/>
  <c r="L85" i="17" s="1"/>
  <c r="L88" i="12"/>
  <c r="L80" i="12"/>
  <c r="L124" i="12"/>
  <c r="L142" i="12" s="1"/>
  <c r="M113" i="12"/>
  <c r="M102" i="12"/>
  <c r="L69" i="12"/>
  <c r="L75" i="12" s="1"/>
  <c r="L62" i="12"/>
  <c r="L80" i="11"/>
  <c r="L48" i="11"/>
  <c r="L22" i="11"/>
  <c r="M10" i="11"/>
  <c r="M79" i="17" s="1"/>
  <c r="M100" i="11"/>
  <c r="M106" i="11" s="1"/>
  <c r="L88" i="11"/>
  <c r="L69" i="11"/>
  <c r="L65" i="11"/>
  <c r="L44" i="11"/>
  <c r="M22" i="11"/>
  <c r="M119" i="12" l="1"/>
  <c r="L113" i="12"/>
  <c r="L102" i="12"/>
  <c r="L119" i="12" s="1"/>
  <c r="L90" i="12"/>
  <c r="L57" i="12"/>
  <c r="L58" i="12" s="1"/>
  <c r="L50" i="12"/>
  <c r="L51" i="12" s="1"/>
  <c r="L32" i="12"/>
  <c r="M21" i="12"/>
  <c r="L78" i="16"/>
  <c r="L6" i="16" s="1"/>
  <c r="L93" i="17" s="1"/>
  <c r="L75" i="11"/>
  <c r="L111" i="11"/>
  <c r="L113" i="11" s="1"/>
  <c r="L10" i="11" s="1"/>
  <c r="L84" i="17"/>
  <c r="M83" i="17"/>
  <c r="L90" i="11"/>
  <c r="L58" i="11"/>
  <c r="L40" i="11"/>
  <c r="L100" i="11"/>
  <c r="L106" i="11" s="1"/>
  <c r="L9" i="11" s="1"/>
  <c r="L8" i="16"/>
  <c r="L95" i="17" s="1"/>
  <c r="M8" i="16"/>
  <c r="M95" i="17" s="1"/>
  <c r="M9" i="15"/>
  <c r="M87" i="17" s="1"/>
  <c r="L9" i="15"/>
  <c r="L11" i="15" s="1"/>
  <c r="L7" i="16"/>
  <c r="L94" i="17" s="1"/>
  <c r="M7" i="16"/>
  <c r="M94" i="17" s="1"/>
  <c r="L10" i="16"/>
  <c r="L97" i="17" s="1"/>
  <c r="M6" i="16"/>
  <c r="M93" i="17" s="1"/>
  <c r="L5" i="12"/>
  <c r="M5" i="12"/>
  <c r="M6" i="15"/>
  <c r="M11" i="15" s="1"/>
  <c r="M8" i="12"/>
  <c r="M104" i="17" s="1"/>
  <c r="L5" i="11"/>
  <c r="L122" i="10"/>
  <c r="L118" i="10"/>
  <c r="L114" i="10"/>
  <c r="L128" i="10" s="1"/>
  <c r="L90" i="10"/>
  <c r="L107" i="10"/>
  <c r="L79" i="10"/>
  <c r="L75" i="10"/>
  <c r="M10" i="10"/>
  <c r="M59" i="17" s="1"/>
  <c r="L103" i="10"/>
  <c r="L109" i="10" s="1"/>
  <c r="L62" i="10"/>
  <c r="L42" i="10"/>
  <c r="M23" i="10"/>
  <c r="M8" i="9"/>
  <c r="M48" i="17" s="1"/>
  <c r="L8" i="9"/>
  <c r="L48" i="17" s="1"/>
  <c r="M10" i="9"/>
  <c r="M50" i="17" s="1"/>
  <c r="M77" i="9"/>
  <c r="M83" i="9" s="1"/>
  <c r="L58" i="9"/>
  <c r="L60" i="9" s="1"/>
  <c r="L45" i="9"/>
  <c r="L21" i="9"/>
  <c r="L83" i="8"/>
  <c r="L79" i="8"/>
  <c r="L85" i="8" s="1"/>
  <c r="L23" i="8"/>
  <c r="M112" i="8"/>
  <c r="M114" i="8" s="1"/>
  <c r="M10" i="8" s="1"/>
  <c r="M68" i="17" s="1"/>
  <c r="M101" i="8"/>
  <c r="L101" i="8"/>
  <c r="M95" i="8"/>
  <c r="L68" i="8"/>
  <c r="L74" i="8" s="1"/>
  <c r="L51" i="8"/>
  <c r="M8" i="7"/>
  <c r="M37" i="17" s="1"/>
  <c r="L8" i="7"/>
  <c r="L37" i="17" s="1"/>
  <c r="L70" i="7"/>
  <c r="M116" i="7"/>
  <c r="L74" i="7"/>
  <c r="M5" i="7"/>
  <c r="M34" i="17" s="1"/>
  <c r="L5" i="7"/>
  <c r="L34" i="17" s="1"/>
  <c r="L50" i="6"/>
  <c r="L52" i="6" s="1"/>
  <c r="M10" i="6"/>
  <c r="M160" i="17" s="1"/>
  <c r="L10" i="6"/>
  <c r="L160" i="17" s="1"/>
  <c r="L71" i="6"/>
  <c r="L77" i="6" s="1"/>
  <c r="L43" i="6"/>
  <c r="M10" i="5"/>
  <c r="M151" i="17" s="1"/>
  <c r="L10" i="5"/>
  <c r="L151" i="17" s="1"/>
  <c r="L21" i="5"/>
  <c r="L23" i="4"/>
  <c r="L75" i="5"/>
  <c r="L77" i="5" s="1"/>
  <c r="M21" i="5"/>
  <c r="L78" i="4"/>
  <c r="L84" i="4" s="1"/>
  <c r="L57" i="4"/>
  <c r="L53" i="4"/>
  <c r="L49" i="4"/>
  <c r="L38" i="4"/>
  <c r="L129" i="3"/>
  <c r="L125" i="3"/>
  <c r="L190" i="3"/>
  <c r="L183" i="3"/>
  <c r="L121" i="3"/>
  <c r="M98" i="17" l="1"/>
  <c r="L83" i="5"/>
  <c r="L89" i="5" s="1"/>
  <c r="L61" i="5"/>
  <c r="L42" i="5"/>
  <c r="M78" i="4"/>
  <c r="M84" i="4" s="1"/>
  <c r="L59" i="4"/>
  <c r="L34" i="4"/>
  <c r="L44" i="4" s="1"/>
  <c r="M23" i="4"/>
  <c r="M27" i="3"/>
  <c r="L52" i="3"/>
  <c r="L38" i="3"/>
  <c r="L103" i="3"/>
  <c r="L135" i="3"/>
  <c r="M190" i="3"/>
  <c r="M183" i="3"/>
  <c r="L174" i="3"/>
  <c r="L196" i="3" s="1"/>
  <c r="L64" i="12"/>
  <c r="L79" i="17"/>
  <c r="L43" i="8"/>
  <c r="L61" i="8"/>
  <c r="L63" i="8" s="1"/>
  <c r="M107" i="8"/>
  <c r="L95" i="8"/>
  <c r="L107" i="8" s="1"/>
  <c r="M137" i="10"/>
  <c r="M143" i="10" s="1"/>
  <c r="L137" i="10"/>
  <c r="L143" i="10" s="1"/>
  <c r="L58" i="10"/>
  <c r="L50" i="10"/>
  <c r="L77" i="9"/>
  <c r="L83" i="9" s="1"/>
  <c r="L41" i="9"/>
  <c r="L53" i="9" s="1"/>
  <c r="L76" i="7"/>
  <c r="L63" i="7"/>
  <c r="M71" i="6"/>
  <c r="M77" i="6" s="1"/>
  <c r="M9" i="6" s="1"/>
  <c r="M159" i="17" s="1"/>
  <c r="M24" i="6"/>
  <c r="M5" i="6" s="1"/>
  <c r="L35" i="6"/>
  <c r="L45" i="6" s="1"/>
  <c r="M101" i="17"/>
  <c r="L101" i="17"/>
  <c r="L98" i="17"/>
  <c r="L42" i="20" s="1"/>
  <c r="L60" i="11"/>
  <c r="L6" i="11" s="1"/>
  <c r="L74" i="17"/>
  <c r="L34" i="10"/>
  <c r="L71" i="10"/>
  <c r="M122" i="7"/>
  <c r="M10" i="7" s="1"/>
  <c r="M39" i="17" s="1"/>
  <c r="L78" i="17"/>
  <c r="L8" i="11"/>
  <c r="L77" i="17" s="1"/>
  <c r="M9" i="11"/>
  <c r="M78" i="17" s="1"/>
  <c r="L7" i="11"/>
  <c r="L76" i="17" s="1"/>
  <c r="M7" i="11"/>
  <c r="M76" i="17" s="1"/>
  <c r="M9" i="12"/>
  <c r="M105" i="17" s="1"/>
  <c r="M10" i="12"/>
  <c r="M106" i="17" s="1"/>
  <c r="L9" i="12"/>
  <c r="L105" i="17" s="1"/>
  <c r="L87" i="17"/>
  <c r="L6" i="12"/>
  <c r="M5" i="8"/>
  <c r="L5" i="8"/>
  <c r="L7" i="12"/>
  <c r="L103" i="17" s="1"/>
  <c r="M7" i="12"/>
  <c r="M103" i="17" s="1"/>
  <c r="M42" i="20"/>
  <c r="M84" i="17"/>
  <c r="M6" i="12"/>
  <c r="L8" i="12"/>
  <c r="L104" i="17" s="1"/>
  <c r="L11" i="16"/>
  <c r="M11" i="16"/>
  <c r="M8" i="11"/>
  <c r="M77" i="17" s="1"/>
  <c r="M112" i="10"/>
  <c r="M114" i="10" s="1"/>
  <c r="M128" i="10" s="1"/>
  <c r="L7" i="6"/>
  <c r="L157" i="17" s="1"/>
  <c r="M5" i="4"/>
  <c r="L5" i="3"/>
  <c r="M5" i="3"/>
  <c r="L5" i="4"/>
  <c r="M6" i="11"/>
  <c r="M75" i="17" s="1"/>
  <c r="L54" i="17"/>
  <c r="M5" i="10"/>
  <c r="L10" i="10"/>
  <c r="L59" i="17" s="1"/>
  <c r="L10" i="9"/>
  <c r="L50" i="17" s="1"/>
  <c r="L7" i="9"/>
  <c r="L47" i="17" s="1"/>
  <c r="M5" i="9"/>
  <c r="M7" i="9"/>
  <c r="M47" i="17" s="1"/>
  <c r="L5" i="9"/>
  <c r="L45" i="17" s="1"/>
  <c r="M9" i="9"/>
  <c r="M49" i="17" s="1"/>
  <c r="L112" i="8"/>
  <c r="L114" i="8" s="1"/>
  <c r="L10" i="8" s="1"/>
  <c r="L68" i="17" s="1"/>
  <c r="L116" i="7"/>
  <c r="M7" i="6"/>
  <c r="M157" i="17" s="1"/>
  <c r="L155" i="17"/>
  <c r="L8" i="6"/>
  <c r="L158" i="17" s="1"/>
  <c r="M8" i="6"/>
  <c r="M158" i="17" s="1"/>
  <c r="L7" i="5"/>
  <c r="L148" i="17" s="1"/>
  <c r="M8" i="5"/>
  <c r="M149" i="17" s="1"/>
  <c r="L8" i="5"/>
  <c r="L149" i="17" s="1"/>
  <c r="L5" i="5"/>
  <c r="M5" i="5"/>
  <c r="M7" i="5"/>
  <c r="M148" i="17" s="1"/>
  <c r="M9" i="4"/>
  <c r="M141" i="17" s="1"/>
  <c r="M8" i="4"/>
  <c r="M140" i="17" s="1"/>
  <c r="L8" i="4"/>
  <c r="L140" i="17" s="1"/>
  <c r="M81" i="3"/>
  <c r="M116" i="3" s="1"/>
  <c r="L105" i="2"/>
  <c r="L39" i="2"/>
  <c r="L224" i="2"/>
  <c r="M217" i="2"/>
  <c r="L202" i="2"/>
  <c r="M193" i="2"/>
  <c r="L140" i="2"/>
  <c r="L132" i="2"/>
  <c r="L128" i="2"/>
  <c r="M28" i="2"/>
  <c r="M191" i="1"/>
  <c r="M182" i="1"/>
  <c r="M165" i="1"/>
  <c r="L198" i="1"/>
  <c r="L191" i="1"/>
  <c r="L174" i="1"/>
  <c r="L147" i="1"/>
  <c r="L135" i="1"/>
  <c r="L119" i="1"/>
  <c r="L108" i="1"/>
  <c r="L104" i="1"/>
  <c r="L100" i="1"/>
  <c r="L96" i="1"/>
  <c r="L63" i="5" l="1"/>
  <c r="L116" i="3"/>
  <c r="L6" i="3" s="1"/>
  <c r="L129" i="17" s="1"/>
  <c r="M196" i="3"/>
  <c r="L83" i="2"/>
  <c r="L61" i="2"/>
  <c r="L121" i="2"/>
  <c r="L111" i="2"/>
  <c r="L97" i="2"/>
  <c r="L146" i="2"/>
  <c r="L217" i="2"/>
  <c r="M202" i="2"/>
  <c r="L193" i="2"/>
  <c r="L230" i="2" s="1"/>
  <c r="M224" i="2"/>
  <c r="L182" i="1"/>
  <c r="M174" i="1"/>
  <c r="M204" i="1" s="1"/>
  <c r="L165" i="1"/>
  <c r="L153" i="1"/>
  <c r="L114" i="1"/>
  <c r="L89" i="1"/>
  <c r="L78" i="1"/>
  <c r="L68" i="1"/>
  <c r="L46" i="1"/>
  <c r="L11" i="11"/>
  <c r="L98" i="10"/>
  <c r="M155" i="17"/>
  <c r="L146" i="17"/>
  <c r="M146" i="17"/>
  <c r="L137" i="17"/>
  <c r="M137" i="17"/>
  <c r="L10" i="3"/>
  <c r="L133" i="17" s="1"/>
  <c r="M128" i="17"/>
  <c r="L128" i="17"/>
  <c r="L10" i="12"/>
  <c r="L106" i="17" s="1"/>
  <c r="M11" i="12"/>
  <c r="L89" i="17"/>
  <c r="L41" i="20" s="1"/>
  <c r="M89" i="17"/>
  <c r="M41" i="20" s="1"/>
  <c r="L63" i="17"/>
  <c r="M63" i="17"/>
  <c r="M54" i="17"/>
  <c r="M45" i="17"/>
  <c r="L9" i="6"/>
  <c r="L159" i="17" s="1"/>
  <c r="L9" i="5"/>
  <c r="L150" i="17" s="1"/>
  <c r="L9" i="4"/>
  <c r="L141" i="17" s="1"/>
  <c r="L9" i="3"/>
  <c r="L132" i="17" s="1"/>
  <c r="L9" i="10"/>
  <c r="L58" i="17" s="1"/>
  <c r="L9" i="9"/>
  <c r="L49" i="17" s="1"/>
  <c r="M9" i="5"/>
  <c r="M150" i="17" s="1"/>
  <c r="M9" i="10"/>
  <c r="M58" i="17" s="1"/>
  <c r="M5" i="2"/>
  <c r="M119" i="17" s="1"/>
  <c r="M6" i="10"/>
  <c r="M55" i="17" s="1"/>
  <c r="L65" i="7"/>
  <c r="L6" i="7" s="1"/>
  <c r="L35" i="17" s="1"/>
  <c r="M6" i="7"/>
  <c r="M35" i="17" s="1"/>
  <c r="L6" i="4"/>
  <c r="L138" i="17" s="1"/>
  <c r="M6" i="4"/>
  <c r="M138" i="17" s="1"/>
  <c r="L8" i="10"/>
  <c r="L57" i="17" s="1"/>
  <c r="M8" i="10"/>
  <c r="M57" i="17" s="1"/>
  <c r="M6" i="9"/>
  <c r="M11" i="9" s="1"/>
  <c r="L6" i="9"/>
  <c r="L7" i="7"/>
  <c r="L36" i="17" s="1"/>
  <c r="M7" i="7"/>
  <c r="M36" i="17" s="1"/>
  <c r="L7" i="4"/>
  <c r="L139" i="17" s="1"/>
  <c r="M7" i="4"/>
  <c r="M139" i="17" s="1"/>
  <c r="L6" i="8"/>
  <c r="L64" i="17" s="1"/>
  <c r="M6" i="8"/>
  <c r="M64" i="17" s="1"/>
  <c r="L122" i="7"/>
  <c r="L75" i="17"/>
  <c r="M102" i="17"/>
  <c r="M107" i="17" s="1"/>
  <c r="L102" i="17"/>
  <c r="L6" i="6"/>
  <c r="L11" i="6" s="1"/>
  <c r="L6" i="5"/>
  <c r="L11" i="5" s="1"/>
  <c r="M6" i="5"/>
  <c r="M7" i="3"/>
  <c r="M130" i="17" s="1"/>
  <c r="M8" i="8"/>
  <c r="M66" i="17" s="1"/>
  <c r="M6" i="6"/>
  <c r="M11" i="6" s="1"/>
  <c r="L7" i="3"/>
  <c r="L130" i="17" s="1"/>
  <c r="M6" i="3"/>
  <c r="M129" i="17" s="1"/>
  <c r="M9" i="3"/>
  <c r="M132" i="17" s="1"/>
  <c r="M10" i="3"/>
  <c r="M133" i="17" s="1"/>
  <c r="M7" i="8"/>
  <c r="M65" i="17" s="1"/>
  <c r="L9" i="8"/>
  <c r="L67" i="17" s="1"/>
  <c r="L7" i="8"/>
  <c r="L65" i="17" s="1"/>
  <c r="L8" i="8"/>
  <c r="L66" i="17" s="1"/>
  <c r="M9" i="8"/>
  <c r="M67" i="17" s="1"/>
  <c r="M7" i="10"/>
  <c r="M56" i="17" s="1"/>
  <c r="L7" i="10"/>
  <c r="L56" i="17" s="1"/>
  <c r="L5" i="2"/>
  <c r="L119" i="17" s="1"/>
  <c r="M124" i="17"/>
  <c r="M230" i="2" l="1"/>
  <c r="M9" i="2" s="1"/>
  <c r="M123" i="17" s="1"/>
  <c r="L204" i="1"/>
  <c r="L9" i="1" s="1"/>
  <c r="L114" i="17" s="1"/>
  <c r="L91" i="1"/>
  <c r="L11" i="12"/>
  <c r="M11" i="5"/>
  <c r="M11" i="4"/>
  <c r="M143" i="17"/>
  <c r="L11" i="4"/>
  <c r="L143" i="17"/>
  <c r="L134" i="17"/>
  <c r="L11" i="3"/>
  <c r="M11" i="3"/>
  <c r="M134" i="17"/>
  <c r="L107" i="17"/>
  <c r="L43" i="20" s="1"/>
  <c r="L80" i="17"/>
  <c r="L40" i="20" s="1"/>
  <c r="M69" i="17"/>
  <c r="M38" i="20" s="1"/>
  <c r="L69" i="17"/>
  <c r="L38" i="20" s="1"/>
  <c r="M11" i="8"/>
  <c r="L11" i="8"/>
  <c r="M11" i="10"/>
  <c r="L6" i="10"/>
  <c r="L11" i="10" s="1"/>
  <c r="L10" i="7"/>
  <c r="L39" i="17" s="1"/>
  <c r="L9" i="2"/>
  <c r="L123" i="17" s="1"/>
  <c r="L8" i="1"/>
  <c r="L113" i="17" s="1"/>
  <c r="M8" i="1"/>
  <c r="M113" i="17" s="1"/>
  <c r="M7" i="2"/>
  <c r="M121" i="17" s="1"/>
  <c r="L7" i="2"/>
  <c r="L121" i="17" s="1"/>
  <c r="L7" i="1"/>
  <c r="L112" i="17" s="1"/>
  <c r="M7" i="1"/>
  <c r="M112" i="17" s="1"/>
  <c r="M60" i="17"/>
  <c r="M37" i="20" s="1"/>
  <c r="L6" i="1"/>
  <c r="L111" i="17" s="1"/>
  <c r="L124" i="17"/>
  <c r="M43" i="20"/>
  <c r="L147" i="17"/>
  <c r="L152" i="17" s="1"/>
  <c r="M147" i="17"/>
  <c r="M152" i="17" s="1"/>
  <c r="M46" i="17"/>
  <c r="M51" i="17" s="1"/>
  <c r="M36" i="20" s="1"/>
  <c r="L11" i="9"/>
  <c r="L46" i="17"/>
  <c r="L51" i="17" s="1"/>
  <c r="L36" i="20" s="1"/>
  <c r="M156" i="17"/>
  <c r="M161" i="17" s="1"/>
  <c r="L156" i="17"/>
  <c r="L161" i="17" s="1"/>
  <c r="M6" i="1"/>
  <c r="M111" i="17" s="1"/>
  <c r="M123" i="2"/>
  <c r="M6" i="2" s="1"/>
  <c r="M120" i="17" s="1"/>
  <c r="L123" i="2"/>
  <c r="L6" i="2" s="1"/>
  <c r="L120" i="17" s="1"/>
  <c r="M9" i="1"/>
  <c r="M114" i="17" s="1"/>
  <c r="M10" i="1"/>
  <c r="M115" i="17" s="1"/>
  <c r="M27" i="1" l="1"/>
  <c r="M5" i="1" s="1"/>
  <c r="M11" i="1" s="1"/>
  <c r="L125" i="17"/>
  <c r="M125" i="17"/>
  <c r="L10" i="1"/>
  <c r="L115" i="17" s="1"/>
  <c r="L55" i="17"/>
  <c r="L60" i="17" s="1"/>
  <c r="L37" i="20" s="1"/>
  <c r="L47" i="20"/>
  <c r="L49" i="20"/>
  <c r="M46" i="20"/>
  <c r="M49" i="20"/>
  <c r="L46" i="20"/>
  <c r="M48" i="20"/>
  <c r="L48" i="20"/>
  <c r="M47" i="20"/>
  <c r="M11" i="2"/>
  <c r="L11" i="2"/>
  <c r="L5" i="1"/>
  <c r="L11" i="1" s="1"/>
  <c r="L45" i="20" l="1"/>
  <c r="M45" i="20"/>
  <c r="M110" i="17"/>
  <c r="M116" i="17" s="1"/>
  <c r="L110" i="17"/>
  <c r="L116" i="17" s="1"/>
  <c r="L94" i="7" l="1"/>
  <c r="L44" i="20"/>
  <c r="M44" i="20"/>
  <c r="L111" i="7" l="1"/>
  <c r="L9" i="7" s="1"/>
  <c r="M9" i="7"/>
  <c r="L11" i="7" l="1"/>
  <c r="L38" i="17"/>
  <c r="L40" i="17" s="1"/>
  <c r="L34" i="20" s="1"/>
  <c r="L51" i="20" s="1"/>
  <c r="M11" i="7"/>
  <c r="M38" i="17"/>
  <c r="M40" i="17" s="1"/>
  <c r="M34" i="20" l="1"/>
  <c r="M5" i="11"/>
  <c r="M11" i="11" s="1"/>
  <c r="M74" i="17" l="1"/>
  <c r="M80" i="17" s="1"/>
  <c r="M40" i="20" s="1"/>
  <c r="M51" i="20" s="1"/>
  <c r="L53" i="20" s="1"/>
  <c r="L70" i="20" s="1"/>
  <c r="L72" i="20" s="1"/>
  <c r="L74" i="20" s="1"/>
</calcChain>
</file>

<file path=xl/sharedStrings.xml><?xml version="1.0" encoding="utf-8"?>
<sst xmlns="http://schemas.openxmlformats.org/spreadsheetml/2006/main" count="3551" uniqueCount="778">
  <si>
    <t>měrná jednotka</t>
  </si>
  <si>
    <t>množství</t>
  </si>
  <si>
    <t>jednotková cena</t>
  </si>
  <si>
    <t>poznámka</t>
  </si>
  <si>
    <t>m2</t>
  </si>
  <si>
    <t>bm</t>
  </si>
  <si>
    <t>ks</t>
  </si>
  <si>
    <t>cena celkem materiál</t>
  </si>
  <si>
    <t>cena práce a přesun hmot</t>
  </si>
  <si>
    <t>AS</t>
  </si>
  <si>
    <t>11.01</t>
  </si>
  <si>
    <t>popis</t>
  </si>
  <si>
    <t>11.02</t>
  </si>
  <si>
    <t>stavební část</t>
  </si>
  <si>
    <t>EXP</t>
  </si>
  <si>
    <t>hlavní vitrína</t>
  </si>
  <si>
    <t>desky</t>
  </si>
  <si>
    <t>ocel</t>
  </si>
  <si>
    <t>povrchy</t>
  </si>
  <si>
    <t>zasklení</t>
  </si>
  <si>
    <t>renovace podlahy</t>
  </si>
  <si>
    <t>odstranění svítidel</t>
  </si>
  <si>
    <t>oprava povrchů včetně zapravení stropu</t>
  </si>
  <si>
    <t>11.03</t>
  </si>
  <si>
    <t>m3</t>
  </si>
  <si>
    <t>část</t>
  </si>
  <si>
    <t>pč</t>
  </si>
  <si>
    <t>kód</t>
  </si>
  <si>
    <t>ostatní výrobky</t>
  </si>
  <si>
    <t>skryté panty</t>
  </si>
  <si>
    <t>tyčový zámek</t>
  </si>
  <si>
    <t>časová osa</t>
  </si>
  <si>
    <t>infotabule</t>
  </si>
  <si>
    <t>11.04</t>
  </si>
  <si>
    <t>vlnovka "pěvci"</t>
  </si>
  <si>
    <t>lak RAL 03 sametový lesk</t>
  </si>
  <si>
    <t>nerezové trny kotvené do stěny</t>
  </si>
  <si>
    <t>expozice</t>
  </si>
  <si>
    <t>GRF</t>
  </si>
  <si>
    <t>GRAFIKA</t>
  </si>
  <si>
    <t>EXPOZICE</t>
  </si>
  <si>
    <t>STAVEBNÍ ČÁST</t>
  </si>
  <si>
    <t>plotr - řezaná grafika</t>
  </si>
  <si>
    <t>grafika</t>
  </si>
  <si>
    <t>11.05</t>
  </si>
  <si>
    <t>osvětlení</t>
  </si>
  <si>
    <t>OSVĚTLENÍ</t>
  </si>
  <si>
    <t>OSV</t>
  </si>
  <si>
    <t xml:space="preserve">materiál </t>
  </si>
  <si>
    <t>W1</t>
  </si>
  <si>
    <t>reflektory do lišty</t>
  </si>
  <si>
    <t>L4</t>
  </si>
  <si>
    <t>rozety</t>
  </si>
  <si>
    <t>S9</t>
  </si>
  <si>
    <t>S10</t>
  </si>
  <si>
    <t>stavební úpravy</t>
  </si>
  <si>
    <t>audiovize</t>
  </si>
  <si>
    <t>modely</t>
  </si>
  <si>
    <t>RENESANCE CELEK (CENA BEZ DPH)</t>
  </si>
  <si>
    <t>AUDIOVIZE</t>
  </si>
  <si>
    <t>AV</t>
  </si>
  <si>
    <t>figurína trucbaba</t>
  </si>
  <si>
    <t>audio přehrávač</t>
  </si>
  <si>
    <t>projektor pro oživení tváře</t>
  </si>
  <si>
    <t>držák projektoru</t>
  </si>
  <si>
    <t>přehrávač</t>
  </si>
  <si>
    <t>info kiosek</t>
  </si>
  <si>
    <t>strop - projekce nad hlavní vitrínou</t>
  </si>
  <si>
    <t>projektor</t>
  </si>
  <si>
    <t>zvon</t>
  </si>
  <si>
    <t>pěvci</t>
  </si>
  <si>
    <t>MODELY</t>
  </si>
  <si>
    <t>MDL</t>
  </si>
  <si>
    <t>hardware</t>
  </si>
  <si>
    <t>obsah</t>
  </si>
  <si>
    <t>spouštěč AV</t>
  </si>
  <si>
    <t>výběr, posun - programování</t>
  </si>
  <si>
    <t>face animace - animace 3D</t>
  </si>
  <si>
    <t>mluvení - sound design</t>
  </si>
  <si>
    <t>spouštěč AV - programování</t>
  </si>
  <si>
    <t>10-15 témat - statická grafika</t>
  </si>
  <si>
    <t>stropy - animace 3D</t>
  </si>
  <si>
    <t>spouštěč - programování</t>
  </si>
  <si>
    <t>zvuk zvonu - sound design</t>
  </si>
  <si>
    <t>spouštěč zvuku</t>
  </si>
  <si>
    <t>stuha</t>
  </si>
  <si>
    <t xml:space="preserve">zvon </t>
  </si>
  <si>
    <t>BAROKO CELEK (CENA BEZ DPH)</t>
  </si>
  <si>
    <t>12.01</t>
  </si>
  <si>
    <t>12.02</t>
  </si>
  <si>
    <t>12.03</t>
  </si>
  <si>
    <t>12.04</t>
  </si>
  <si>
    <t>12.05</t>
  </si>
  <si>
    <t>12.06</t>
  </si>
  <si>
    <t>pódium - dioráma</t>
  </si>
  <si>
    <t>třicetiletá válka</t>
  </si>
  <si>
    <t>bourací práce</t>
  </si>
  <si>
    <t>sloupové vitríny v chodbě</t>
  </si>
  <si>
    <t>dioráma - SDK stěny a podlahy</t>
  </si>
  <si>
    <t>skryté panty - otvíravá část vitríny</t>
  </si>
  <si>
    <t>nerezový Z profil 01 dle PD</t>
  </si>
  <si>
    <t>nerezový Z profil 02 dle PD</t>
  </si>
  <si>
    <t>pozadí vitríny</t>
  </si>
  <si>
    <t>popisky</t>
  </si>
  <si>
    <t>infotabule 2x</t>
  </si>
  <si>
    <t>S11</t>
  </si>
  <si>
    <t>S1</t>
  </si>
  <si>
    <t>figurína jezuita</t>
  </si>
  <si>
    <t>hlavní projekce třicetiletá válka</t>
  </si>
  <si>
    <t>display na tyčce</t>
  </si>
  <si>
    <t>pohlednice - grafika statická</t>
  </si>
  <si>
    <t>siluety - animace 3D</t>
  </si>
  <si>
    <t>ruchy válka - sound design</t>
  </si>
  <si>
    <t>slideshow - programování</t>
  </si>
  <si>
    <t>sokl věžní hodiny</t>
  </si>
  <si>
    <t>sokl</t>
  </si>
  <si>
    <t>13.01</t>
  </si>
  <si>
    <t>13.02</t>
  </si>
  <si>
    <t>13.03</t>
  </si>
  <si>
    <t>reklamní plocha</t>
  </si>
  <si>
    <t>penetrace čelní strany</t>
  </si>
  <si>
    <t>lak RAL 02 boky a zadní strana</t>
  </si>
  <si>
    <t>13.04</t>
  </si>
  <si>
    <t>plakátovací plocha</t>
  </si>
  <si>
    <t>F3</t>
  </si>
  <si>
    <t>13.06</t>
  </si>
  <si>
    <t>13.05</t>
  </si>
  <si>
    <t>stuha spolková - pěvci, kopie</t>
  </si>
  <si>
    <t>stuha spolková - vysloužilci, kopie</t>
  </si>
  <si>
    <t>okenní vitráž, kopie</t>
  </si>
  <si>
    <t>cena je za celek včetně práce</t>
  </si>
  <si>
    <t>stuha, kopie</t>
  </si>
  <si>
    <t>zapravení paneláže po vytvoření otvoru</t>
  </si>
  <si>
    <t>14.01</t>
  </si>
  <si>
    <t>14.02</t>
  </si>
  <si>
    <t>14.03</t>
  </si>
  <si>
    <t>demontovat zaklopení paneláže a část nosné kce dle PD</t>
  </si>
  <si>
    <t>mobiliář</t>
  </si>
  <si>
    <t>taburety</t>
  </si>
  <si>
    <t>časová osa - celá stěna</t>
  </si>
  <si>
    <t>paneláž - velkoformátová fotografie</t>
  </si>
  <si>
    <t>14.XX</t>
  </si>
  <si>
    <t>KUNSTKOMORA CELEK (CENA BEZ DPH)</t>
  </si>
  <si>
    <t>14.05</t>
  </si>
  <si>
    <t>zaslepení okna</t>
  </si>
  <si>
    <t>vyklizení prostoru</t>
  </si>
  <si>
    <t>15.01</t>
  </si>
  <si>
    <t>15.02</t>
  </si>
  <si>
    <t>vitrína</t>
  </si>
  <si>
    <t>lak RAL 02 sametový lesk</t>
  </si>
  <si>
    <t>závěsný systém</t>
  </si>
  <si>
    <t>perlinka + lepidlo</t>
  </si>
  <si>
    <t>systémový podhled (černý)</t>
  </si>
  <si>
    <t>zámek</t>
  </si>
  <si>
    <t>15.XX</t>
  </si>
  <si>
    <t>IS</t>
  </si>
  <si>
    <t>VIDEOMAPPING CELEK (CENA BEZ DPH)</t>
  </si>
  <si>
    <t>16.01</t>
  </si>
  <si>
    <t>16.02</t>
  </si>
  <si>
    <t>16.03</t>
  </si>
  <si>
    <t>bílá malba, včetně přemalování kresby na stěně</t>
  </si>
  <si>
    <t>model</t>
  </si>
  <si>
    <t>model knihy včetně podstavce</t>
  </si>
  <si>
    <t>16.XX</t>
  </si>
  <si>
    <t>LAPIDARIUM CELEK (CENA BEZ DPH)</t>
  </si>
  <si>
    <t>01.XX</t>
  </si>
  <si>
    <t>01.01</t>
  </si>
  <si>
    <t>01.02</t>
  </si>
  <si>
    <t>01.03</t>
  </si>
  <si>
    <t>01.04</t>
  </si>
  <si>
    <t>lavice</t>
  </si>
  <si>
    <t>patinace wenge</t>
  </si>
  <si>
    <t>štuková omítka</t>
  </si>
  <si>
    <t>jádrová omítka</t>
  </si>
  <si>
    <t>oplechování - provedení dle stávajícího parapetu</t>
  </si>
  <si>
    <t>prořezaná deska na exponáty</t>
  </si>
  <si>
    <t>kruhová projekční plocha</t>
  </si>
  <si>
    <t>bílá projekční barva</t>
  </si>
  <si>
    <t>kresby na expoziční plochu</t>
  </si>
  <si>
    <t>stávající, nové není navržené</t>
  </si>
  <si>
    <t>VODA CELEK (CENA BEZ DPH)</t>
  </si>
  <si>
    <t>odstranění paneláže za vstupem</t>
  </si>
  <si>
    <t>05.01</t>
  </si>
  <si>
    <t>05.02</t>
  </si>
  <si>
    <t>opláštění stávající vitríny</t>
  </si>
  <si>
    <t>05.03</t>
  </si>
  <si>
    <t>05.04</t>
  </si>
  <si>
    <t>silueta rákosí</t>
  </si>
  <si>
    <t>L2</t>
  </si>
  <si>
    <t>DOBA LEDOVÁ CELEK (CENA BEZ DPH)</t>
  </si>
  <si>
    <t>odstranění stafáže přírody podia</t>
  </si>
  <si>
    <t>odstranění a likvidace stafáže přírody na pódiu</t>
  </si>
  <si>
    <t>03.01</t>
  </si>
  <si>
    <t>03.02</t>
  </si>
  <si>
    <t>projekční oko</t>
  </si>
  <si>
    <t>probarvené lepidlo</t>
  </si>
  <si>
    <t>projekční bílá barva</t>
  </si>
  <si>
    <t>03.03</t>
  </si>
  <si>
    <t>povalový chodník</t>
  </si>
  <si>
    <t>OTEVŘENÁ KRAJINA CELEK (CENA BEZ DPH)</t>
  </si>
  <si>
    <t>04.01</t>
  </si>
  <si>
    <t>04.02</t>
  </si>
  <si>
    <t>04.03</t>
  </si>
  <si>
    <t>odstranění</t>
  </si>
  <si>
    <t>odstranění a likvidace koberce včetně přípravy podlahy</t>
  </si>
  <si>
    <t>koberec</t>
  </si>
  <si>
    <t>stůl</t>
  </si>
  <si>
    <t>silueta trávy a stromů</t>
  </si>
  <si>
    <t>04.04</t>
  </si>
  <si>
    <t>04.05</t>
  </si>
  <si>
    <t>podstavec</t>
  </si>
  <si>
    <t>kmen</t>
  </si>
  <si>
    <t>04.06</t>
  </si>
  <si>
    <t>04.07</t>
  </si>
  <si>
    <t>04.08</t>
  </si>
  <si>
    <t>grafika na paneláži</t>
  </si>
  <si>
    <t>04.09</t>
  </si>
  <si>
    <t>vitríny</t>
  </si>
  <si>
    <t>reflektory do stávající lišty</t>
  </si>
  <si>
    <t>F4</t>
  </si>
  <si>
    <t>L1</t>
  </si>
  <si>
    <t>L3</t>
  </si>
  <si>
    <t>LESY CELEK (CENA BEZ DPH)</t>
  </si>
  <si>
    <t>demontovat stávající podhled</t>
  </si>
  <si>
    <t>07.01</t>
  </si>
  <si>
    <t>07.02</t>
  </si>
  <si>
    <t>07.04</t>
  </si>
  <si>
    <t>07.03</t>
  </si>
  <si>
    <t>siluety zvířat</t>
  </si>
  <si>
    <t>podhled</t>
  </si>
  <si>
    <t>nerezové trny kotvené do stěny včetně protikusu na siluetě</t>
  </si>
  <si>
    <t>grafika na paneláži včetně siluet</t>
  </si>
  <si>
    <t>L5</t>
  </si>
  <si>
    <t>S4</t>
  </si>
  <si>
    <t>odlitky stop zvířat</t>
  </si>
  <si>
    <t>JIHLAVSKÉ CECHY CELEK (CENA BEZ DPH)</t>
  </si>
  <si>
    <t>odstranění - vymístění mobilního zařízení</t>
  </si>
  <si>
    <t>10.01</t>
  </si>
  <si>
    <t>10.02</t>
  </si>
  <si>
    <t>10.03</t>
  </si>
  <si>
    <t>10.04</t>
  </si>
  <si>
    <t>cechovní praporce - kopie</t>
  </si>
  <si>
    <t>cechovní kniha</t>
  </si>
  <si>
    <t>sněmovní židle 6 kusů, replika</t>
  </si>
  <si>
    <t>sněmovní stůl, replika</t>
  </si>
  <si>
    <t>sněmovní židle s područkami, replika</t>
  </si>
  <si>
    <t>10.05</t>
  </si>
  <si>
    <t>židle masiv, vysoký opěrák, područky, patinace</t>
  </si>
  <si>
    <t>zásuvkové výsuvy s push to open</t>
  </si>
  <si>
    <t>řez kostelem Povýšení sv. Kříže v Jihlavě</t>
  </si>
  <si>
    <t>MRAVENIŠTĚ CELEK (CENA BEZ DPH)</t>
  </si>
  <si>
    <t>08.01</t>
  </si>
  <si>
    <t>08.02</t>
  </si>
  <si>
    <t>mraveniště</t>
  </si>
  <si>
    <t>lepidlo + perlinka</t>
  </si>
  <si>
    <t>polep desek plexi</t>
  </si>
  <si>
    <t>08.XX</t>
  </si>
  <si>
    <t>08.03</t>
  </si>
  <si>
    <t>mravenci</t>
  </si>
  <si>
    <t>mravenci vajíčka</t>
  </si>
  <si>
    <t>mravenci larva</t>
  </si>
  <si>
    <t>08.04</t>
  </si>
  <si>
    <t>mravenci kukla</t>
  </si>
  <si>
    <t>GOTIKA CELEK (CENA BEZ DPH)</t>
  </si>
  <si>
    <t>09.01</t>
  </si>
  <si>
    <t>09.02</t>
  </si>
  <si>
    <t>09.04</t>
  </si>
  <si>
    <t>09.03</t>
  </si>
  <si>
    <t>nosná kce</t>
  </si>
  <si>
    <t>hrubě nanášené probarvené lepidlo</t>
  </si>
  <si>
    <t>model hrnčířské pece</t>
  </si>
  <si>
    <t>paneláž s pecí</t>
  </si>
  <si>
    <t>paneláž  s gotickým obloukem</t>
  </si>
  <si>
    <t>magnety</t>
  </si>
  <si>
    <t>hlavní vitrína 01</t>
  </si>
  <si>
    <t>hlavní vitrína 02</t>
  </si>
  <si>
    <t>paneláž černá kuchyň</t>
  </si>
  <si>
    <t>09.05</t>
  </si>
  <si>
    <t>S5</t>
  </si>
  <si>
    <t>md</t>
  </si>
  <si>
    <t>projekce lapidárium</t>
  </si>
  <si>
    <t>projektor s ultrakrátkou projekční vzdáleností</t>
  </si>
  <si>
    <t>TOF kamera pro trackování lidského obličeje</t>
  </si>
  <si>
    <t>animace kulaté okno</t>
  </si>
  <si>
    <t>faceTracking programování</t>
  </si>
  <si>
    <t xml:space="preserve"> </t>
  </si>
  <si>
    <t>projekce pohled do minulosti</t>
  </si>
  <si>
    <t>Projektor (0.8 - 1.2:1)</t>
  </si>
  <si>
    <t>projekce pařez - programování</t>
  </si>
  <si>
    <t>zvuk otevřené krajiny</t>
  </si>
  <si>
    <t>krajina - sound design</t>
  </si>
  <si>
    <t>zvuk vody</t>
  </si>
  <si>
    <t>dalekohled</t>
  </si>
  <si>
    <t>animace mravenci</t>
  </si>
  <si>
    <t>figurína pekařka</t>
  </si>
  <si>
    <t>figurína tovaryš</t>
  </si>
  <si>
    <t>projekce stop na podlaze včetně zvuku</t>
  </si>
  <si>
    <t>animace chodidel</t>
  </si>
  <si>
    <t>display portrait</t>
  </si>
  <si>
    <t>LeapMotion pro bezdotykové ovládání knihy</t>
  </si>
  <si>
    <t>animace - kronika</t>
  </si>
  <si>
    <t>L6</t>
  </si>
  <si>
    <t>LED pás 9W 3K, včetně profilu, difuzoru a napájení.</t>
  </si>
  <si>
    <t>04.S1</t>
  </si>
  <si>
    <t>04.F4</t>
  </si>
  <si>
    <t>LED profil za siluety</t>
  </si>
  <si>
    <t>04.L1</t>
  </si>
  <si>
    <t>LED pás 12W 3K, včetně profilu, difuzoru a napájení</t>
  </si>
  <si>
    <t>04.L3</t>
  </si>
  <si>
    <t>LED profil do vitrín</t>
  </si>
  <si>
    <t>05.L2</t>
  </si>
  <si>
    <t>05.L4</t>
  </si>
  <si>
    <t>rákosí dynamické modré svícení</t>
  </si>
  <si>
    <t>LED pás</t>
  </si>
  <si>
    <t>07.S4</t>
  </si>
  <si>
    <t>07.LI</t>
  </si>
  <si>
    <t>07.L5</t>
  </si>
  <si>
    <t>reflektor</t>
  </si>
  <si>
    <t>LED line dynamická</t>
  </si>
  <si>
    <t>LI</t>
  </si>
  <si>
    <t>09.S5</t>
  </si>
  <si>
    <t>09.LI</t>
  </si>
  <si>
    <t>09.L4</t>
  </si>
  <si>
    <t>dle rozhodnutí kurátora výstavy o realizaci časové osy</t>
  </si>
  <si>
    <t>10.S7</t>
  </si>
  <si>
    <t>S7</t>
  </si>
  <si>
    <t>10.IS</t>
  </si>
  <si>
    <t>vitrínové svítidlo magnetické</t>
  </si>
  <si>
    <t>15.IS</t>
  </si>
  <si>
    <t>11.S10</t>
  </si>
  <si>
    <t>11.S8</t>
  </si>
  <si>
    <t>11.S9</t>
  </si>
  <si>
    <t>11.S7</t>
  </si>
  <si>
    <t>S8</t>
  </si>
  <si>
    <t>reflektory do rozety</t>
  </si>
  <si>
    <t>11.W1</t>
  </si>
  <si>
    <t>11.RW</t>
  </si>
  <si>
    <t>RW</t>
  </si>
  <si>
    <t>instalační rozety bíle přisazené</t>
  </si>
  <si>
    <t>instalační rozety černé přisazené</t>
  </si>
  <si>
    <t>RB</t>
  </si>
  <si>
    <t>LI48</t>
  </si>
  <si>
    <t>11.LI</t>
  </si>
  <si>
    <t>11.L3</t>
  </si>
  <si>
    <t>11.L4</t>
  </si>
  <si>
    <t>12.S1</t>
  </si>
  <si>
    <t>12.S11</t>
  </si>
  <si>
    <t>12.F3</t>
  </si>
  <si>
    <t>12.RB</t>
  </si>
  <si>
    <t>12.LI</t>
  </si>
  <si>
    <t>12.L3</t>
  </si>
  <si>
    <t>12.L4</t>
  </si>
  <si>
    <t>12.L6</t>
  </si>
  <si>
    <t>13.S1</t>
  </si>
  <si>
    <t>13.F3</t>
  </si>
  <si>
    <t>13.LI</t>
  </si>
  <si>
    <t>13.L3</t>
  </si>
  <si>
    <t>13.L4</t>
  </si>
  <si>
    <t>13.L7</t>
  </si>
  <si>
    <t>pouze práce</t>
  </si>
  <si>
    <t>desky podhledu černá barva, možnost prořezání na CNC, cena na m2 včetně závěsů</t>
  </si>
  <si>
    <t>včetně kotvení na desku</t>
  </si>
  <si>
    <t xml:space="preserve">bílé projekční plátno </t>
  </si>
  <si>
    <t>police do stávajících vitrín</t>
  </si>
  <si>
    <t>cena je bez časové osy - nutné domluvit s kurátorem expozice</t>
  </si>
  <si>
    <t>figurína dle pokynu kurátora expozice</t>
  </si>
  <si>
    <t>závěsný systém - lišty</t>
  </si>
  <si>
    <t>dřevěné koule na trnech na stěnu</t>
  </si>
  <si>
    <t>lak RAL 06 vysoký lesk</t>
  </si>
  <si>
    <t xml:space="preserve">lak RAL 04 </t>
  </si>
  <si>
    <t>lak RAL 05 sametový lesk - omšelá</t>
  </si>
  <si>
    <t>ocel bez povrchové úpravy</t>
  </si>
  <si>
    <t>závěsný systém 2x podélná lišta</t>
  </si>
  <si>
    <t>pravá paneláž bude odstrojena včetně grafiky</t>
  </si>
  <si>
    <t>grafika do zásuvek</t>
  </si>
  <si>
    <t>lak RAL 04 sametový lesk prováděné nástřikem na dílně</t>
  </si>
  <si>
    <t>lak RAL 02 sametový lesk - celá stěna</t>
  </si>
  <si>
    <t>závitové tyče včetně kotvících prvků - nerez</t>
  </si>
  <si>
    <t xml:space="preserve">lak RAL 03 sametový lesk </t>
  </si>
  <si>
    <t>DPH</t>
  </si>
  <si>
    <t>model opevnění hradu Roštejna</t>
  </si>
  <si>
    <t>zvuky krajiny - sound design</t>
  </si>
  <si>
    <t>programování - spouštěč</t>
  </si>
  <si>
    <t>mraveniště - sound design</t>
  </si>
  <si>
    <t>programování - spouštěč zvuku</t>
  </si>
  <si>
    <t>chodidla - sound design</t>
  </si>
  <si>
    <t>pěvci - sound design</t>
  </si>
  <si>
    <t>videomapping</t>
  </si>
  <si>
    <t xml:space="preserve">infotabule </t>
  </si>
  <si>
    <t>malba</t>
  </si>
  <si>
    <t>materiál včetně práce</t>
  </si>
  <si>
    <t>bílá malba (strop i stěna)</t>
  </si>
  <si>
    <t>oprava omítek (stěny + strop)</t>
  </si>
  <si>
    <t>oprava omítek (stěny)</t>
  </si>
  <si>
    <t>10.LI</t>
  </si>
  <si>
    <t>figurína selka</t>
  </si>
  <si>
    <t>PC pro interaktivitu</t>
  </si>
  <si>
    <t>04.10</t>
  </si>
  <si>
    <t>grafika v nerez boxu</t>
  </si>
  <si>
    <t>demontáž dioráma - SDK stěny a podlahy</t>
  </si>
  <si>
    <t>zrušení podsvícení paneláže</t>
  </si>
  <si>
    <t>pouze jističem - pokud lze</t>
  </si>
  <si>
    <t>police do vitrín plechové</t>
  </si>
  <si>
    <t>penetrace</t>
  </si>
  <si>
    <t>03.04</t>
  </si>
  <si>
    <t>desky do stávajících vitrín</t>
  </si>
  <si>
    <t>plastika nad stolem</t>
  </si>
  <si>
    <t>očistění a penetrace stěny</t>
  </si>
  <si>
    <t>skleněná police na středním nerezovém trnu</t>
  </si>
  <si>
    <t>místo:</t>
  </si>
  <si>
    <t>zhotovitel:</t>
  </si>
  <si>
    <t>projektant:</t>
  </si>
  <si>
    <t>zpracovatel:</t>
  </si>
  <si>
    <t>Masarykovo náměstí 55, 586 01 Jihlava</t>
  </si>
  <si>
    <t>tbi. architekti.</t>
  </si>
  <si>
    <t>+420 602 509 017</t>
  </si>
  <si>
    <t>tomas.bilek@tbiarch.eu</t>
  </si>
  <si>
    <t>maly@muzeum.ji.cz</t>
  </si>
  <si>
    <t>+420 732 956 213</t>
  </si>
  <si>
    <t>identifikační údaje</t>
  </si>
  <si>
    <t>178MVJ</t>
  </si>
  <si>
    <t>IČ 66011281</t>
  </si>
  <si>
    <t>Terronská 66/877, 160 00 Praha 6</t>
  </si>
  <si>
    <t>kontaktní osoba:</t>
  </si>
  <si>
    <t>datum a podpis:</t>
  </si>
  <si>
    <t>2. ostatní náklady</t>
  </si>
  <si>
    <t>02. REALIZACE ELEKTRO</t>
  </si>
  <si>
    <t>ELEKTRO</t>
  </si>
  <si>
    <t>kabeláž</t>
  </si>
  <si>
    <t>propojení komponentů</t>
  </si>
  <si>
    <t>11.06</t>
  </si>
  <si>
    <t>ELEKTRO CELEK (CENA BEZ DPH)</t>
  </si>
  <si>
    <t>centrální řízení</t>
  </si>
  <si>
    <t>03. CENTRÁLNÍ ŘÍZENÍ</t>
  </si>
  <si>
    <t>NÁKLADY Z ROZPOČTU</t>
  </si>
  <si>
    <t>OSTATNÍ NÁKLADY</t>
  </si>
  <si>
    <t>řezové hrany musí být tmelené a lakované</t>
  </si>
  <si>
    <t>vestavba</t>
  </si>
  <si>
    <t>ocel bez povrchové úpravy, dimenze tyčí bude upřesněná v dílenské dokumentaci dle hmotnosti modelu knihy</t>
  </si>
  <si>
    <t>plechy budou lepené</t>
  </si>
  <si>
    <t>zámek bude skrytý ve stropu a podlaze vitríny</t>
  </si>
  <si>
    <t>vysoký lesk musí být realizovaný na dílně v bezprašném prostředí</t>
  </si>
  <si>
    <t>police do vitrín skleněné</t>
  </si>
  <si>
    <t>deinstalace paneláže musí být provedená tak, že bude možné použít stávající nosnou konstrukci - dřevěné sloupky</t>
  </si>
  <si>
    <t>cena včetně vloženého modrého plexi</t>
  </si>
  <si>
    <t>podvodní svět + siluety</t>
  </si>
  <si>
    <t>podklady pro CNC - vyřezání podvodního světa a siluet</t>
  </si>
  <si>
    <t>hrany desky jsou sražené R20</t>
  </si>
  <si>
    <t>přesné provedení konstrukce bude určené po odstranění stávající desky</t>
  </si>
  <si>
    <t>r</t>
  </si>
  <si>
    <t>desky na dno stávajících vitrín</t>
  </si>
  <si>
    <t>cena včetně práce</t>
  </si>
  <si>
    <t>datum a podpis:                              21.09.2022</t>
  </si>
  <si>
    <t>cechovní kniha 1:1</t>
  </si>
  <si>
    <t>odstranění grafiky</t>
  </si>
  <si>
    <t>podkladní voděodolná překližka tl. 15 mm</t>
  </si>
  <si>
    <t xml:space="preserve">MDF deska tl. 19 mm </t>
  </si>
  <si>
    <t>jäkl 40 x 40 x 3 mm</t>
  </si>
  <si>
    <t>LAPIDARIUM CELEK (cena bez DPH)</t>
  </si>
  <si>
    <t>cena celkem bez DPH</t>
  </si>
  <si>
    <t>DOBA LEDOVÁ CELEK (cena bez DPH)</t>
  </si>
  <si>
    <t>OTEVŘENÁ KRAJINA CELEK  (cena bez DPH)</t>
  </si>
  <si>
    <t>VODA CELEK  (cena bez DPH)</t>
  </si>
  <si>
    <t>LESY CELEK  (cena bez DPH)</t>
  </si>
  <si>
    <t>MRAVENIŠTĚ CELEK  (cena bez DPH)</t>
  </si>
  <si>
    <t>GOTIKA CELEK (cena bez DPH)</t>
  </si>
  <si>
    <t>JIHLAVSKÉ CECHY CELEK (cena bez DPH)</t>
  </si>
  <si>
    <t>RENESANCE CELEK  (cena bez DPH)</t>
  </si>
  <si>
    <t>BAROKO CELEK (cena bez DPH)</t>
  </si>
  <si>
    <t>19.STOLETÍ CELEK  (cena bez DPH)</t>
  </si>
  <si>
    <t>20.STOLETÍ CELEK  (cena bez DPH)</t>
  </si>
  <si>
    <t>KUNSTKOMORA CELEK (cena bez DPH)</t>
  </si>
  <si>
    <t>VIDEOMAPPING CELEK  (cena bez DPH)</t>
  </si>
  <si>
    <t xml:space="preserve">MDF deska tl. 19 mm (2x) </t>
  </si>
  <si>
    <t>dřevo masiv - modřín tl. 40 mm</t>
  </si>
  <si>
    <t>profil U 40 x 40 x 3 mm</t>
  </si>
  <si>
    <t>profil L 20 x 30 x 3 mm</t>
  </si>
  <si>
    <t>cena celkem (3 ks) bez DPH</t>
  </si>
  <si>
    <t>lavice (1 ks)</t>
  </si>
  <si>
    <t>lavice (3 ks)</t>
  </si>
  <si>
    <t>návaznost svislé a vodorovné části je 45 st.</t>
  </si>
  <si>
    <t>objednatel:</t>
  </si>
  <si>
    <t>ing. arch. Tomáš Bílek</t>
  </si>
  <si>
    <t>dílo:</t>
  </si>
  <si>
    <t>Muzeum Vysočiny Jihlava, příspěvková organizace</t>
  </si>
  <si>
    <t>řez kostelem Nanebevzetí Panny Marie v Jihlavě</t>
  </si>
  <si>
    <t>MDF deska tl. 5 mm</t>
  </si>
  <si>
    <t>MDF deska tl. 16 mm</t>
  </si>
  <si>
    <t>MDF deska tl. 16 mm s prořezanými motivy dle grafiky s vloženým plexi modré barvy</t>
  </si>
  <si>
    <t xml:space="preserve">MDF deska tl. 16 mm </t>
  </si>
  <si>
    <t>MDF deska tl. 16 mm - vitríny</t>
  </si>
  <si>
    <t xml:space="preserve">MDF deska tl. 16 mm  </t>
  </si>
  <si>
    <t>MDF deska tl. 10 mm - ohybatelná</t>
  </si>
  <si>
    <t>MDF deska tl. 10 mm</t>
  </si>
  <si>
    <t>MDF deska tl. 10 mm na dno vitrín</t>
  </si>
  <si>
    <t xml:space="preserve">MDF deska tl. 10 mm ohýbatelná </t>
  </si>
  <si>
    <t xml:space="preserve">MDF deska tl. 10 mm </t>
  </si>
  <si>
    <t xml:space="preserve">MDF deska tl. 10 mm  </t>
  </si>
  <si>
    <t>lak RAL 02 komaxit</t>
  </si>
  <si>
    <t>MDF deska tl. 19 mm</t>
  </si>
  <si>
    <t>MDF deska tl. 19 mm s otvorem na projekci</t>
  </si>
  <si>
    <t>MDF deska tl. 19 mm podlaha</t>
  </si>
  <si>
    <t xml:space="preserve">MDF deska tl. 19 mm  </t>
  </si>
  <si>
    <t>MDF tl. 19 mm 2x</t>
  </si>
  <si>
    <t>nerezové distančníky prům. 30 mm, délka 50 mm</t>
  </si>
  <si>
    <t>vyschlý kmen stromu prům. cca 400 mm, ošetřený proti dřevokazným houbám a hmyzu</t>
  </si>
  <si>
    <t>ocelový plech tl. 3 mm, šířka 150 mm - kruhové výseče</t>
  </si>
  <si>
    <t>nerezová lanka 0,5 mm, včetně systémových závěsů 2 x 2 x 11 ks</t>
  </si>
  <si>
    <t>barevné sklo prům. 70 mm, tl. 6 mm, včetně otvorů na zavěšení - různé barvy</t>
  </si>
  <si>
    <t>různě velké obdélníky různě barevných koberců, různě vysoké smyčky</t>
  </si>
  <si>
    <t>kobercové obdélníky</t>
  </si>
  <si>
    <t>nová otevíratelná vitrína 800 x 750 mm, včetně úpravy konstrukce</t>
  </si>
  <si>
    <t>MDF tl. 16 mm - zaklopení paneláže</t>
  </si>
  <si>
    <t>nová otevíratelná vitrína 2000 x 750 mm, včetně úpravy konstrukce</t>
  </si>
  <si>
    <t>MDF tl. 16 mm - zaklopení paneláže, viz EXP.04.09</t>
  </si>
  <si>
    <t>lištové svítidlo extra wide flood, barva černá</t>
  </si>
  <si>
    <t>reproduktory pro zavěšení</t>
  </si>
  <si>
    <t>lištové svítidlo spot, barva černá</t>
  </si>
  <si>
    <t>hrany desky R5 mm - tmelit, brousit</t>
  </si>
  <si>
    <t>povrchové úpravy musí být oceněny včetně tmelení, broušení a jiných přípravných prací</t>
  </si>
  <si>
    <t>nová vitrína ve stejném provedení jako stávající
sklo float 8 mm (2000 x 750 mm)
bezpečnostní skrytý pant, ve spodní a horní části dveří bezpečnostní zámek
vitrína je prachotěsná, otevíratelná, uzamykatelná, dno MDF deska tl. 10 mm RAL 02
sklo s fólií, strop a podlaha vitríny - barevná fólie polep
nosná konstrukce vitríny je tvořena ocelovými profily
všechny pomocné konstrukce jsou opatřeny černým ochranným nátěrem</t>
  </si>
  <si>
    <t>zesilovač pro reproduktory 2 x 75 W</t>
  </si>
  <si>
    <t>digitální dalekohled s podporou přehrávání video sekvencí</t>
  </si>
  <si>
    <t>MDF tl. 10 mm čela a záda zásuvek</t>
  </si>
  <si>
    <t>MDF tl. 10 mm ohýbatelná konstrukce zásuvek</t>
  </si>
  <si>
    <t>MDF tl. 19 mm k vyřezání siluet zvířat, šířka siluety 50 mm</t>
  </si>
  <si>
    <t>plexisklo tl. 5 mm - podklad pro grafiku (zásuvky)</t>
  </si>
  <si>
    <t>imitace srsti zvířat pr. 150 mm</t>
  </si>
  <si>
    <t>samolepicí fólie</t>
  </si>
  <si>
    <t>samolepicí fólie průsvitná</t>
  </si>
  <si>
    <t>LED pás bez profilu 12W 2700K, včetně napájení a řídicích jednotek</t>
  </si>
  <si>
    <t>černá fólie na okno</t>
  </si>
  <si>
    <t>jäkl 60 x 40 x 3 mm</t>
  </si>
  <si>
    <t xml:space="preserve">jäklová konstrukce musí být spřažena s podlahovou MDF deskou </t>
  </si>
  <si>
    <t>jäkl 30 x 30 x 3 mm</t>
  </si>
  <si>
    <t>odstranění a likvidace 1 ks stávající paneláže 1 x 2 m</t>
  </si>
  <si>
    <t>rektifikační nohy výška 50 mm</t>
  </si>
  <si>
    <t>nerezové distančníky prům. 20 mm, délka 30 mm</t>
  </si>
  <si>
    <t>LED modrý pás 12W dynamicky, včetně profilu, difuzoru, napájení a řídicích jednotek</t>
  </si>
  <si>
    <t>návaznost svislé a vodorovné části je na 45 st.</t>
  </si>
  <si>
    <t>opláštění musí být otvíravé na straně stávajícího otvírání soklu vitríny</t>
  </si>
  <si>
    <t>reprosoustava 2 pasivních reproduktorů válcového tvaru určená pro zavěšení na lanko, kmitočtový rozsah 70 Hz až 20 kHz, výkon 65 W continuous, SPL min. 86 dB@(1W, 1m) continuous, impedance 8 ohm, LF měnič 100-130 mm, HF měnič 20 mm, hmotnost max. 5 kg</t>
  </si>
  <si>
    <t>reprosoustava 2 aktivních reproduktorů válcového tvaru určená pro zavěšení na lanko, kmitočtový rozsah 70 Hz až 20 kHz, výkon 65 W continuous, SPL min. 86 dB@(1W, 1m) continuous, impedance 8 ohm, LF měnič 100-130 mm, HF měnič 20 mm, hmotnost max. 5 kg</t>
  </si>
  <si>
    <t>odstranění střední vitríny a umístění dle pokynu objednatele</t>
  </si>
  <si>
    <t>demontovat - odnést stávající exponáty včetně vitrín a uskladnit dle pokynu objednatele</t>
  </si>
  <si>
    <t>demontovat exponáty a uskladnit dle pokynu objednatele</t>
  </si>
  <si>
    <t>osvětlení - dle pokynu objednatele</t>
  </si>
  <si>
    <t>dle pokynu objednatele vyklidit prostor</t>
  </si>
  <si>
    <t>monokulární dalekohled využívající kulatý OLED-IPS display pro přehrávání videí</t>
  </si>
  <si>
    <t>třída nosnosti 30 kg, výsuv minimálně 600 mm</t>
  </si>
  <si>
    <t>sada se zesilovačem pro přehrávání max. stereo zvuku</t>
  </si>
  <si>
    <t>instalační dvoukanálový zesilovač třídy D s výkonem 2 x 75 W pro výstupní impedanci 4 nebo 8 ohm, rozměr max. 1U</t>
  </si>
  <si>
    <t>čiré plexi s grafikou tl. 6 mm</t>
  </si>
  <si>
    <t>zesilovač pro reproduktory 4 x 75 W</t>
  </si>
  <si>
    <t>přehrávač interaktivní, 4 výstupy</t>
  </si>
  <si>
    <t>model, materiál a provedení dle pokynu objednatele</t>
  </si>
  <si>
    <t>instalační čtyřkanálový zesilovač třídy D s výkonem 4 x 75 W pro výstupní impedanci 4 nebo 8 ohm, rozměr max. 1U</t>
  </si>
  <si>
    <t>HDMI, Loop, max. 4K, H265, možnost videomappingu na maximálně 4xHDMI výstupy</t>
  </si>
  <si>
    <t>část pravé paneláže bude odstrojena včetně grafiky na nosnou konstrukci</t>
  </si>
  <si>
    <t>grafika ve vitrínách a na paneláži dle PD</t>
  </si>
  <si>
    <t>paneláž mezi okny a dveřmi - nosná konstrukce bude znovu použita!</t>
  </si>
  <si>
    <t>předpoklad využití stávajících dřevěných sloupků 70 x 40 mm</t>
  </si>
  <si>
    <t>skleněné a MDF police dle pokynu kurátora expozice</t>
  </si>
  <si>
    <t>LED pás 12W 4K, včetně profilu, difuzoru a napájení</t>
  </si>
  <si>
    <t>směrový reproduktor 300 x 160 mm včetně zesilovače</t>
  </si>
  <si>
    <t>HDMI, Loop, max. 4K, H265</t>
  </si>
  <si>
    <t>HDMI, Loop, max. 4K, H265, možnost interakce a otáčení animací pomocí zařízení typu LeapMotion</t>
  </si>
  <si>
    <t>police budou přesně popsané kurátorem výstavy při realizaci, skleněné budou polohovatelné na ocelových lankách</t>
  </si>
  <si>
    <t>figurína v životní velikosti včetně podstavce, oblečení a zabudování reproduktoru</t>
  </si>
  <si>
    <t>lištový systém, včetně příslušenství, 230 V, černá</t>
  </si>
  <si>
    <t>malý směrový reproduktor zabudovaný do figuríny, slouží pro přehrávání lidského hlasu</t>
  </si>
  <si>
    <t>držák projektoru kompatibilní s dodávaným projektorem</t>
  </si>
  <si>
    <t>throw ratio: 0,25-0,30:1, min. rozlišení FULL HD (1920x1080) či WUXGA (1920x1200), DLP technologie, laser či led zdroj osvětlení, max. 36 dB hlučnost, svítivost min. 4000 ANSI, vertikální korekce lichoběžníkového zkreslení, funkce přímého vypínání, vstupy: min. 1× HDMI 1.4, 1× RS232, 1× IR, 1× LAN, menu projektoru v českém jazyce, podpora 360° manipulace a uchycení, 24/7 provoz</t>
  </si>
  <si>
    <t>throw ratio: 0,8-1,2:1, min. rozlišení FULL HD (1920x1080) či WUXGA (1920x1200), DLP technologie, laser či led zdroj osvětlení, max. 36 dB hlučnost, svítivost min. 1000 ANSI, vertikální korekce lichoběžníkového zkreslení, funkce přímého vypínání, vstupy: min. 1× HDMI 1.4, 1× RS232, 1× IR, 1× LAN, menu projektoru v českém jazyce, podpora 360° manipulace a uchycení, 24/7 provoz, hmotnost max. 2 kg, možnost přehrávání videa z SD karty</t>
  </si>
  <si>
    <t>throw ratio: 0,8-1,2:1, min. rozlišení FULL HD (1920x1080) či WUXGA (1920x1200), DLP technologie, laser či led zdroj osvětlení, max. 36 dB hlučnost, svítivost min. 4000 ANSI, vertikální korekce lichoběžníkového zkreslení, funkce přímého vypínání, vstupy: min. 1× HDMI 1.4, 1× RS232, 1× IR, 1× LAN, menu projektoru v českém jazyce, podpora 360° manipulace a uchycení, 24/7 provoz, hmotnost max. 2 kg</t>
  </si>
  <si>
    <t>tyčový zámek bude skrytý ve stropu a podlaze vitríny</t>
  </si>
  <si>
    <t>provedení open frame, IPS nebo PVA nebo MVA technologie,  VESA 100 x 100 mm, provoz 24/7, odezva 14 ms, vstupy: HDMI, Technologie dotyku: single touch, min. 225 NIT, minimální kontrast 1000:1</t>
  </si>
  <si>
    <t>provedení open frame. IPS nebo PVA nebo MVA technologie,  VESA 100x100 mm, provoz 24/7, odezva 14 ms, Vstupy: HDMI, Technologie dotyku: single touch, min. 225 NIT,  minimální kontrast 1000:1</t>
  </si>
  <si>
    <t>krycí plech tl. 3 mm</t>
  </si>
  <si>
    <t>podkladní plech tl. 5 mm</t>
  </si>
  <si>
    <t>žerď na praporce dřevo prům. 20 mm včetně uchycení</t>
  </si>
  <si>
    <t>skleněná police 500 x 500 mm</t>
  </si>
  <si>
    <t>lištové svítidlo spot, barva černá, na lištu 48 V</t>
  </si>
  <si>
    <t>lištový systém, včetně příslušenství, 48 V, barva černá</t>
  </si>
  <si>
    <t>černý forex 150 x 100 mm, tl. 5 mm, tisk</t>
  </si>
  <si>
    <t>vitrínové svítidlo magnetické 3 W dim 3K, včetně infrastruktury a napájení</t>
  </si>
  <si>
    <t>projektor - stopy, včetně držáku na vitrínu</t>
  </si>
  <si>
    <t>cínaři, kloboučníci, tkalci, kováři, ševci, soukeníci</t>
  </si>
  <si>
    <t>židle masiv, nízký opěrák, patinace</t>
  </si>
  <si>
    <t>sněmovní stůl masiv 2500 x 1000 mm, zdobené nohy, patinace</t>
  </si>
  <si>
    <t>demontáž a likvidace světel</t>
  </si>
  <si>
    <t>lak RAL 02 sametový lesk na ocel provedené na dílně</t>
  </si>
  <si>
    <t>L profil 40 x 60 x 5 mm</t>
  </si>
  <si>
    <t>nerezový profil L 30 x 15 x 3 mm</t>
  </si>
  <si>
    <t xml:space="preserve">ohybatelná deska MDF tl. 10 mm </t>
  </si>
  <si>
    <t>MDF deska tl. 19 mm (žebra)</t>
  </si>
  <si>
    <t>lištové svítidlo narrow spot, barva černá, na lištu 48 V</t>
  </si>
  <si>
    <t>lištové svítidlo spot, barva bílá</t>
  </si>
  <si>
    <t>lištové svítidlo flood, barva černá</t>
  </si>
  <si>
    <t>lištové svítidlo oval flood, barva černá</t>
  </si>
  <si>
    <t>lištový systém 48 V</t>
  </si>
  <si>
    <t>reflektory do lišty 48 V do vitríny</t>
  </si>
  <si>
    <t>lištové svítidlo wallwasher, barva černá, na lištu 48 V</t>
  </si>
  <si>
    <t>lištový systém, včetně příslušenství, 48 V barva černá</t>
  </si>
  <si>
    <t>interaktivní systém s tahadlem pro rozeznění zvonu</t>
  </si>
  <si>
    <t>sluchátko s přehrávačem</t>
  </si>
  <si>
    <t>veškeré spoje jsou na 45 st.</t>
  </si>
  <si>
    <t>antivandal sluchátka s přehrávačem, čtení audio z SD karty</t>
  </si>
  <si>
    <t>mechanicko interaktivní zařízení pro spouštění zvuku přes zvon, kolaborace s konstruktérem - architektem</t>
  </si>
  <si>
    <t>provedení open frame, IPS nebo PVA nebo MVA technologie, VESA 100 x 100 mm, provoz 24/7, odezva 14 ms, vstupy: HDMI, technologie dotyku: single touch, min. 225 NIT, minimální kontrast 1000:1</t>
  </si>
  <si>
    <t>demontáž a likvidace světel - hlavní sál</t>
  </si>
  <si>
    <t>MDF deska tl. 38 mm - siluety</t>
  </si>
  <si>
    <t>nerezový plech tl. 2 mm (pouzdro na LCD a grafiku)</t>
  </si>
  <si>
    <t>nerezová trubka prům. 18 mm</t>
  </si>
  <si>
    <t>sklo float tl. 4 mm určené pro polep 540 x 360 mm</t>
  </si>
  <si>
    <t>projekční látka maximálně 360 g/m2</t>
  </si>
  <si>
    <t>ocelový plech tl. 5 mm - podstavec pod osu</t>
  </si>
  <si>
    <t>L profil 40 x 60 x 3 mm</t>
  </si>
  <si>
    <t>ocelový plech tl. 5 mm, šířka 40 mm</t>
  </si>
  <si>
    <t>lištový systém 230 V</t>
  </si>
  <si>
    <t>reflektory do lišty 230 V</t>
  </si>
  <si>
    <t>LI 230 V</t>
  </si>
  <si>
    <t>směrový reproduktor</t>
  </si>
  <si>
    <t xml:space="preserve">směrový reproduktor </t>
  </si>
  <si>
    <t>projektor (0.5-0.8:1)</t>
  </si>
  <si>
    <t>grafika 30letá válka - grafika statická</t>
  </si>
  <si>
    <t>cena celkem (2 ks) bez DPH</t>
  </si>
  <si>
    <t>parapet včetně podezdívky</t>
  </si>
  <si>
    <t>zvuky lesa</t>
  </si>
  <si>
    <t>projekce mravenci, včetně zvuku</t>
  </si>
  <si>
    <t>ocelové trny - kotvení do stěny 30 mm</t>
  </si>
  <si>
    <t>LED pás 5W 3K, včetně profilu, difuzoru a napájení</t>
  </si>
  <si>
    <t>cena za práci i materiál</t>
  </si>
  <si>
    <t>IPS, Full HD, HDMI, min. 400 cd/m, integrované reproduktory, integrovaný operační systém s možností přehrávání videa</t>
  </si>
  <si>
    <t>IPS, Full HD, HDMI, min. 350 cd/m, integrované reproduktory, integrovaný operační systém s možností přehrávání videa a interaktivního obsahu</t>
  </si>
  <si>
    <t xml:space="preserve">třicetiletá válka </t>
  </si>
  <si>
    <t>poloviční maketa zvonu Zuzana 1:1</t>
  </si>
  <si>
    <t>vitrína (1 ks)</t>
  </si>
  <si>
    <t>figurína jihlavan</t>
  </si>
  <si>
    <t>01. LAPIDARIUM</t>
  </si>
  <si>
    <t>03. DOBA LEDOVÁ</t>
  </si>
  <si>
    <t>04. OTEVŘENÁ KRAJINA</t>
  </si>
  <si>
    <t>05. VODA</t>
  </si>
  <si>
    <t>07. LESY</t>
  </si>
  <si>
    <t>08. MRAVENIŠTĚ</t>
  </si>
  <si>
    <t>09. GOTIKA</t>
  </si>
  <si>
    <t>10. JIHLAVSKÉ CECHY</t>
  </si>
  <si>
    <t>11. RENESANCE</t>
  </si>
  <si>
    <t>12. BAROKO</t>
  </si>
  <si>
    <t>13. 19.STOLETÍ</t>
  </si>
  <si>
    <t>14. 20.STOLETÍ</t>
  </si>
  <si>
    <t>15. KUNSTKOMORA</t>
  </si>
  <si>
    <t>16. VIDEOMAPPING</t>
  </si>
  <si>
    <r>
      <t xml:space="preserve">celkem </t>
    </r>
    <r>
      <rPr>
        <b/>
        <sz val="18"/>
        <color theme="1"/>
        <rFont val="Calibri"/>
        <family val="2"/>
        <charset val="238"/>
        <scheme val="minor"/>
      </rPr>
      <t>bez DPH</t>
    </r>
  </si>
  <si>
    <t>1. náklady po expozicích</t>
  </si>
  <si>
    <t>celkem bez DPH</t>
  </si>
  <si>
    <t>CENA CELKEM VČ. DPH</t>
  </si>
  <si>
    <t>RNDr. Karel Malý, Ph.D.</t>
  </si>
  <si>
    <t>závěsný systém v rozích 4 lanka</t>
  </si>
  <si>
    <t>skleněná police 950 x 550 mm</t>
  </si>
  <si>
    <t>jäkl 80 x 40 x 3 mm</t>
  </si>
  <si>
    <t>U profil 30 x 15 x 4 mm, nerez</t>
  </si>
  <si>
    <t>nerezový plech - portál, tl. 3 mm</t>
  </si>
  <si>
    <t>magnetické svítidlo včetně tyčí ve všech rozích vitríny</t>
  </si>
  <si>
    <t>IPS, Full HD, HDMI, min. 400 cd/m, integrované reproduktory, no-bezel typ displaye určený pro videowall stěny, max. hrana 3,5 mm</t>
  </si>
  <si>
    <t>model knihy včetně naznačení stránek 1500 x 1000 mm</t>
  </si>
  <si>
    <t>patní ocelový plech tl. 5 mm</t>
  </si>
  <si>
    <t>ocelový plech tl. 3 mm</t>
  </si>
  <si>
    <t>exponát bude přenesený do vedlejší expozice gotiky</t>
  </si>
  <si>
    <t>rozpoznávání gest z 0,5 až 1 m, Ultraleap na 80 %</t>
  </si>
  <si>
    <t>1) materiály jsou uvedeny v přesných rozměrech bez prořezů</t>
  </si>
  <si>
    <t>GRAFIKA CELEK (CENA BEZ DPH)</t>
  </si>
  <si>
    <t>Úprava a vytvoření nových expozic Muzea Vysočiny Jihlava</t>
  </si>
  <si>
    <t>2) požadovaná záruka AV komponentů je 3 roky</t>
  </si>
  <si>
    <t>grafický návrh pro jednotlivé položky expozic</t>
  </si>
  <si>
    <t>realizační projekt silnoproudu</t>
  </si>
  <si>
    <t>zděná stěna tl. 140 mm</t>
  </si>
  <si>
    <t>plech 140 x 140 mm, tl. 5 mm</t>
  </si>
  <si>
    <t>MODEL NENÍ SOUČÁSTÍ PLNĚNÍ (ZAJIŠŤUJE OBJEDNATEL)</t>
  </si>
  <si>
    <t>03.XX</t>
  </si>
  <si>
    <t>ŽÁDNÝ MODEL</t>
  </si>
  <si>
    <t>taburet prům. cca 300 mm, výška 430 mm, černá barva</t>
  </si>
  <si>
    <t>04.XX</t>
  </si>
  <si>
    <t>stromy před vitrínami musí být demontovatelné přes imbus (černá barva) = prošroubování přes siluety</t>
  </si>
  <si>
    <t>prosvětlující pásek do soklu vitríny</t>
  </si>
  <si>
    <t>05.XX</t>
  </si>
  <si>
    <t>pásek bude instalovaný v horní i spodní poloze</t>
  </si>
  <si>
    <t>plexiskla budou polepená grafikou na #1, kotvená pomocí závitových tyčí</t>
  </si>
  <si>
    <t>ocelová tyč čtvercová 30 x 30 mm</t>
  </si>
  <si>
    <t>realizace elektro (vč. elektro revize a dokumentace skutečného provedení)</t>
  </si>
  <si>
    <t>cena celkem (1 ks) bez DPH</t>
  </si>
  <si>
    <t>ocelové distančníky pr. 20 mm, výška 30 mm, lepené k oplechování (horní deska prošroubovaná)</t>
  </si>
  <si>
    <t>řez kostelem</t>
  </si>
  <si>
    <t>lavice (8 ks)</t>
  </si>
  <si>
    <t>vitríny včetně podstavce na praporce</t>
  </si>
  <si>
    <t>vitríny (6 ks)</t>
  </si>
  <si>
    <t>cena celkem (6 ks) bez DPH</t>
  </si>
  <si>
    <t>restaurátorská replika - REALIZACE MODELU NENÍ SOUČÁSTÍ PLNĚNÍ</t>
  </si>
  <si>
    <t>obsahová náplň</t>
  </si>
  <si>
    <t>skleněné šturcy + pultová vitrína, vybavení vitrín</t>
  </si>
  <si>
    <t>interaktivní display (cca 14") včetně držáku</t>
  </si>
  <si>
    <t>dotyková obrazovka (cca 27")</t>
  </si>
  <si>
    <t>interaktivní display (cca 20") včetně držáku</t>
  </si>
  <si>
    <t>nerezový plech - podnož, lepený, tl. 2 mm</t>
  </si>
  <si>
    <t>ocelový plech - opláštění MDF desky, podlaha a strop, tl. 3 mm</t>
  </si>
  <si>
    <t>plech 30 mm tl. 3 mm</t>
  </si>
  <si>
    <t>plech tl. 5 mm</t>
  </si>
  <si>
    <t>plech 30 mm, tl. 3 mm</t>
  </si>
  <si>
    <t>položení koberce (materiál = viz expozici)</t>
  </si>
  <si>
    <t>lavice (2 ks)</t>
  </si>
  <si>
    <t>pokládka koberce zahrnuta v části AS výše</t>
  </si>
  <si>
    <t>vč. ceny materiálu + tisku</t>
  </si>
  <si>
    <t>magnetické svítidlo včetně tyčí v rozích vitríny, vždy dvě úhlopříčně á 4 ks (6 vitrín)</t>
  </si>
  <si>
    <t>není předmětem plnění</t>
  </si>
  <si>
    <t>modely nejsou předmětem plnění</t>
  </si>
  <si>
    <t>infračervená kamera s minimálním rozlišením Full HD</t>
  </si>
  <si>
    <t>throw ratio: 0,8-1,2:1, min. rozlišení FULL HD (1920x1080) či WUXGA (1920x1200), DLP technologie, laser či led zdroj osvětlení, max. 36 dB hlučnost, svítivost min. 4000 ANSI, vertikální korekce lichoběžníkového zkreslení, funkce přímého vypínání, vstupy: min. 1× HDMI 1.4, 1× RS232, 1× IR, 1× LAN, menu projektoru v českém jazyce, podpora 360° manipulace a uchycení, 24/7 provoz</t>
  </si>
  <si>
    <t>throw ratio: 0.5 - 0,8:1, min. rozlišení FULL HD (1920x1080) či WUXGA (1920x1200), DLP technologie, laser či led zdroj osvětlení, max. 36 dB hlučnost, svítivost min. 4000 ANSI, vertikální korekce lichoběžníkového zkreslení, funkce přímého vypínání, vstupy: min. 1× HDMI 1.4, 1× RS232, 1× IR, 1× LAN, menu projektoru v českém jazyce, podpora 360° manipulace a uchycení, 24/7 provoz</t>
  </si>
  <si>
    <t>stopy zvířat</t>
  </si>
  <si>
    <t>demontovat grafiku včetně forexu a připravit podklad pro malbu</t>
  </si>
  <si>
    <t>písek s transparentním epoxidem</t>
  </si>
  <si>
    <t>přesné provedení polic bude řešené v místě plnění s kurátorem expozice a architektem</t>
  </si>
  <si>
    <t>ocelové nohy s rektifikací</t>
  </si>
  <si>
    <t>prostor v tuto chvíli slouží jako depozitář drobných exponátů, vzhledem k tomu, že do něj bude v rámci plnění vestavěna jiná místnost, není potřeba rekonstrukce, pouze případné opravy havarijního stavu</t>
  </si>
  <si>
    <t>display min. 50" s max. 3,5 mm rámečkem, včetně držáku na stěnu</t>
  </si>
  <si>
    <t>sklo float tl. 8 mm (časová osa) - přesná specifikace v dílenské dokumentaci</t>
  </si>
  <si>
    <t>v dílenské dokumentaci navrhnout tl. skla, lepení a transportní cestu!</t>
  </si>
  <si>
    <t>sklo float  tl. 8 mm (časová osa) - přesná specifikace bude upřesněna v dílenské dokumentaci</t>
  </si>
  <si>
    <t>sklo float tl. 8 mm (časová osa) - přesná specifikace bude upřesněna v dílenské dokumentaci</t>
  </si>
  <si>
    <t>držák obrazovky</t>
  </si>
  <si>
    <t>držák obrazovky kompatibilní s dodávaným zařízením</t>
  </si>
  <si>
    <t>vytvoření assetů obsahu  (podklady pro programátora – obrázky, zvuky pro mini-animaci ovládání)</t>
  </si>
  <si>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držák obrazovky</t>
    </r>
  </si>
  <si>
    <t>siluety - content (scénář projekce a na to navazující animace)</t>
  </si>
  <si>
    <t>tvorba assetů obsahu (podklady pro programátora – obrázky, zvuky pro mini-animaci ovládání)</t>
  </si>
  <si>
    <r>
      <t>přenést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exponát dle pokynu objednatele</t>
    </r>
  </si>
  <si>
    <t>PC (case mini) + programování</t>
  </si>
  <si>
    <t>19. STOLETÍ CELEK (CENA BEZ DPH)</t>
  </si>
  <si>
    <t>20. STOLETÍ CELEK (CENA BEZ DPH)</t>
  </si>
  <si>
    <t>01. REALIZAČNÍ PROJEKT SILNOPROUDU</t>
  </si>
  <si>
    <t>06. GEOLOGIE (NENÍ PŘEDMĚTEM PLNĚNÍ - ZŮSTÁVÁ STÁVAJÍCÍ)</t>
  </si>
  <si>
    <t>02. DOLOVÁNÍ (NENÍ PŘEDMĚTEM PLNĚNÍ - ZŮSTÁVÁ STÁVAJÍCÍ)</t>
  </si>
  <si>
    <t>(projekt slaboproudu je součástí dodávky AV)</t>
  </si>
  <si>
    <t>EXPOZICE 01 - LAPIDARIUM, OBJEKT Č. 57, 1. NP</t>
  </si>
  <si>
    <t>EXPOZICE 02 - DOLOVÁNÍ, OBJEKT Č. 58, 1. PP - NENÍ PŘEDMĚTEM PLNĚNÍ, ZŮSTÁVÁ STÁVAJÍCÍ</t>
  </si>
  <si>
    <t>EXPOZICE 03 - DOBA LEDOVÁ, OBJEKT Č. 58, 2. NP</t>
  </si>
  <si>
    <t>EXPOZICE 04 - OTEVŘENÁ KRAJINA, OBJEKT Č. 58, 2. NP</t>
  </si>
  <si>
    <t>EXPOZICE 05 - VODA, OBJEKT Č. 58, 2. NP</t>
  </si>
  <si>
    <t>EXPOZICE 06 - GEOLOGIE, OBJEKT Č. 58, 2. NP - NENÍ PŘEDMĚTEM PLNĚNÍ, ZŮSTÁVÁ STÁVAJÍCÍ</t>
  </si>
  <si>
    <t>EXPOZICE 07 - LESY, OBJEKT Č. 58, 3. NP</t>
  </si>
  <si>
    <t>EXPOZICE 08 - MRAVENIŠTĚ, OBJEKT Č. 58, 3. NP</t>
  </si>
  <si>
    <t>EXPOZICE 09 - GOTIKA, OBJEKT Č. 57, 2. NP</t>
  </si>
  <si>
    <t>EXPOZICE 10 - JIHLAVSKÉ CECHY, OBJEKT Č. 57, 2. NP</t>
  </si>
  <si>
    <t>EXPOZICE 11 - RENESANCE, OBJEKT Č. 57, 3. NP</t>
  </si>
  <si>
    <t>EXPOZICE 12 - BAROKO, OBJEKT Č. 57, 3. NP</t>
  </si>
  <si>
    <t>EXPOZICE 13 - 19. STOLETÍ, OBJEKT Č. 58, 3. NP</t>
  </si>
  <si>
    <t>EXPOZICE 14 - 20. STOLETÍ, OBJEKT Č. 58, 3. NP</t>
  </si>
  <si>
    <t>EXPOZICE 15 - KUNSTKOMORA, OBJEKT Č. 58, 3. NP</t>
  </si>
  <si>
    <t>EXPOZICE 16 - VIDEOMAPPING, OBJEKT Č. 57, 2. NP</t>
  </si>
  <si>
    <t>SOUHRNNÝ LIST ROZPOČTU</t>
  </si>
  <si>
    <t xml:space="preserve">IČO: </t>
  </si>
  <si>
    <t>IČO: 00090735</t>
  </si>
  <si>
    <t>SHRNUTÍ EXPOZIC</t>
  </si>
  <si>
    <t>IČO: 66011281</t>
  </si>
  <si>
    <t>Masarykovo náměstí č. 57 a 58, 586 01 Jihlava</t>
  </si>
  <si>
    <t>zoxidovaný krycí plech tl. 4 mm (předzvětralý stabilizovaný plech se známkami rzi, odmaštěný a uzavřený poleuretanovým bezbarvým matným lakem), šířka 60 mm</t>
  </si>
  <si>
    <t>zoxidovaný krycí plech tl. 4 mm (předzvětralý stabilizovaný plech se známkami rzi, odmaštěný a uzavřený poleuretanovým bezbarvým matným lakem), šířka 70 mm</t>
  </si>
  <si>
    <t>zoxidovaný krycí plech tl. 4 mm (předzvětralý stabilizovaný plech se známkami rzi, odmaštěný a uzavřený poleuretanovým bezbarvým matným lakem), šířka 70 mm, délka 2050 mm</t>
  </si>
  <si>
    <t>dvojitý nátěr</t>
  </si>
  <si>
    <t>doplnění viríny - není předmětem plnění</t>
  </si>
  <si>
    <t>ultra čiré sklo tl. 10 mm</t>
  </si>
  <si>
    <t>ultra čiré sklo 44.1, přesná specifikace bude upřesněna v dílenské dokumentaci!</t>
  </si>
  <si>
    <t>ultra čiré sklo tl. 44.1</t>
  </si>
  <si>
    <t>ultra čiré sklo 44.1, leštěná hrana, přesná tl. skla bude upřesněna v dílenské dokumentaci</t>
  </si>
  <si>
    <t>ultra čiré sklo tl. 8 mm (vitríny), přesná specifikace bude upřesněna v dílenské dokumentaci</t>
  </si>
  <si>
    <t>gumová měkká "houpavá" podlaha tl. 20 mm černá</t>
  </si>
  <si>
    <t>probarvená betonová pohledová stěrka tl. 3 mm</t>
  </si>
  <si>
    <t>smaltované sklo #2 (na pozici 2), barevnost dle výběru architekta, dle dílenské dokumentace, tl. 6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</si>
</sst>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0\1"/>
  </numFmts>
  <fonts count="46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rgb="FF1E1E1E"/>
      <name val="Segoe UI"/>
      <family val="2"/>
      <charset val="238"/>
    </font>
    <font>
      <sz val="1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b/>
      <strike/>
      <sz val="14"/>
      <color theme="1"/>
      <name val="Calibri"/>
      <family val="2"/>
      <charset val="238"/>
      <scheme val="minor"/>
    </font>
    <font>
      <b/>
      <strike/>
      <sz val="12"/>
      <color theme="1"/>
      <name val="Calibri"/>
      <family val="2"/>
      <charset val="238"/>
      <scheme val="minor"/>
    </font>
    <font>
      <strike/>
      <sz val="14"/>
      <color theme="1"/>
      <name val="Calibri"/>
      <family val="2"/>
      <charset val="238"/>
      <scheme val="minor"/>
    </font>
    <font>
      <strike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4"/>
      <color theme="1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2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BE9FF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48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 indent="1"/>
    </xf>
    <xf numFmtId="0" fontId="0" fillId="2" borderId="1" xfId="0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left" vertical="center" indent="1"/>
    </xf>
    <xf numFmtId="49" fontId="4" fillId="0" borderId="0" xfId="0" applyNumberFormat="1" applyFont="1" applyBorder="1" applyAlignment="1">
      <alignment horizontal="left" vertical="center" indent="1"/>
    </xf>
    <xf numFmtId="49" fontId="1" fillId="0" borderId="0" xfId="0" applyNumberFormat="1" applyFont="1" applyBorder="1" applyAlignment="1">
      <alignment horizontal="left" vertical="center" indent="1"/>
    </xf>
    <xf numFmtId="49" fontId="0" fillId="0" borderId="0" xfId="0" applyNumberFormat="1" applyBorder="1" applyAlignment="1">
      <alignment horizontal="left" vertical="center" indent="1"/>
    </xf>
    <xf numFmtId="49" fontId="0" fillId="0" borderId="4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0" fontId="0" fillId="0" borderId="4" xfId="0" applyBorder="1" applyAlignment="1">
      <alignment horizontal="right" vertical="center" indent="1"/>
    </xf>
    <xf numFmtId="49" fontId="2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right" vertical="center" indent="1"/>
    </xf>
    <xf numFmtId="164" fontId="2" fillId="4" borderId="4" xfId="0" applyNumberFormat="1" applyFont="1" applyFill="1" applyBorder="1" applyAlignment="1">
      <alignment horizontal="right" vertical="center" indent="1"/>
    </xf>
    <xf numFmtId="0" fontId="0" fillId="4" borderId="4" xfId="0" applyFill="1" applyBorder="1" applyAlignment="1">
      <alignment horizontal="right" vertical="center" indent="1"/>
    </xf>
    <xf numFmtId="49" fontId="6" fillId="0" borderId="0" xfId="0" applyNumberFormat="1" applyFont="1" applyBorder="1" applyAlignment="1">
      <alignment horizontal="left" vertical="center" indent="1"/>
    </xf>
    <xf numFmtId="49" fontId="3" fillId="0" borderId="0" xfId="0" applyNumberFormat="1" applyFont="1" applyBorder="1" applyAlignment="1">
      <alignment horizontal="left" vertical="center" indent="1"/>
    </xf>
    <xf numFmtId="49" fontId="0" fillId="0" borderId="1" xfId="0" applyNumberFormat="1" applyFon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vertical="center"/>
    </xf>
    <xf numFmtId="49" fontId="6" fillId="0" borderId="6" xfId="0" applyNumberFormat="1" applyFont="1" applyBorder="1" applyAlignment="1">
      <alignment horizontal="left" vertical="center" indent="1"/>
    </xf>
    <xf numFmtId="49" fontId="6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indent="1"/>
    </xf>
    <xf numFmtId="0" fontId="6" fillId="0" borderId="6" xfId="0" applyFont="1" applyBorder="1" applyAlignment="1">
      <alignment horizontal="right" vertical="center" indent="1"/>
    </xf>
    <xf numFmtId="0" fontId="6" fillId="0" borderId="6" xfId="0" applyFont="1" applyBorder="1" applyAlignment="1">
      <alignment vertical="center"/>
    </xf>
    <xf numFmtId="49" fontId="2" fillId="3" borderId="5" xfId="0" applyNumberFormat="1" applyFont="1" applyFill="1" applyBorder="1" applyAlignment="1">
      <alignment horizontal="center" vertical="center"/>
    </xf>
    <xf numFmtId="165" fontId="2" fillId="3" borderId="0" xfId="0" applyNumberFormat="1" applyFont="1" applyFill="1" applyBorder="1" applyAlignment="1">
      <alignment horizontal="center" vertical="center"/>
    </xf>
    <xf numFmtId="165" fontId="6" fillId="3" borderId="0" xfId="0" applyNumberFormat="1" applyFont="1" applyFill="1" applyBorder="1" applyAlignment="1">
      <alignment horizontal="left" vertical="center" indent="1"/>
    </xf>
    <xf numFmtId="49" fontId="1" fillId="3" borderId="0" xfId="0" applyNumberFormat="1" applyFont="1" applyFill="1" applyBorder="1" applyAlignment="1">
      <alignment horizontal="center" vertical="center"/>
    </xf>
    <xf numFmtId="49" fontId="6" fillId="3" borderId="0" xfId="0" applyNumberFormat="1" applyFont="1" applyFill="1" applyBorder="1" applyAlignment="1">
      <alignment horizontal="left" vertical="center" indent="1"/>
    </xf>
    <xf numFmtId="49" fontId="0" fillId="3" borderId="0" xfId="0" applyNumberFormat="1" applyFill="1" applyBorder="1" applyAlignment="1">
      <alignment horizontal="center" vertical="center"/>
    </xf>
    <xf numFmtId="49" fontId="2" fillId="4" borderId="0" xfId="0" applyNumberFormat="1" applyFont="1" applyFill="1" applyBorder="1" applyAlignment="1">
      <alignment horizontal="center" vertical="center"/>
    </xf>
    <xf numFmtId="49" fontId="0" fillId="4" borderId="0" xfId="0" applyNumberFormat="1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9" xfId="0" applyBorder="1" applyAlignment="1">
      <alignment vertical="center"/>
    </xf>
    <xf numFmtId="49" fontId="3" fillId="0" borderId="9" xfId="0" applyNumberFormat="1" applyFon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left" vertical="center" indent="1"/>
    </xf>
    <xf numFmtId="0" fontId="0" fillId="0" borderId="9" xfId="0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0" fontId="3" fillId="5" borderId="8" xfId="0" applyFont="1" applyFill="1" applyBorder="1" applyAlignment="1">
      <alignment horizontal="right" vertical="center" indent="1"/>
    </xf>
    <xf numFmtId="0" fontId="3" fillId="5" borderId="8" xfId="0" applyFont="1" applyFill="1" applyBorder="1" applyAlignment="1">
      <alignment vertical="center"/>
    </xf>
    <xf numFmtId="164" fontId="2" fillId="5" borderId="8" xfId="0" applyNumberFormat="1" applyFont="1" applyFill="1" applyBorder="1" applyAlignment="1">
      <alignment horizontal="right" vertical="center" indent="1"/>
    </xf>
    <xf numFmtId="164" fontId="2" fillId="5" borderId="3" xfId="0" applyNumberFormat="1" applyFont="1" applyFill="1" applyBorder="1" applyAlignment="1">
      <alignment horizontal="right" vertical="center" indent="1"/>
    </xf>
    <xf numFmtId="1" fontId="0" fillId="0" borderId="0" xfId="0" applyNumberFormat="1" applyFont="1" applyAlignment="1">
      <alignment horizontal="right" vertical="center"/>
    </xf>
    <xf numFmtId="1" fontId="0" fillId="0" borderId="9" xfId="0" applyNumberFormat="1" applyFont="1" applyBorder="1" applyAlignment="1">
      <alignment horizontal="right" vertical="center"/>
    </xf>
    <xf numFmtId="1" fontId="0" fillId="0" borderId="0" xfId="0" applyNumberFormat="1" applyFont="1" applyBorder="1" applyAlignment="1">
      <alignment horizontal="right" vertical="center"/>
    </xf>
    <xf numFmtId="1" fontId="0" fillId="3" borderId="5" xfId="0" applyNumberFormat="1" applyFont="1" applyFill="1" applyBorder="1" applyAlignment="1">
      <alignment horizontal="right" vertical="center"/>
    </xf>
    <xf numFmtId="1" fontId="0" fillId="0" borderId="4" xfId="0" applyNumberFormat="1" applyFont="1" applyBorder="1" applyAlignment="1">
      <alignment horizontal="right" vertical="center"/>
    </xf>
    <xf numFmtId="1" fontId="0" fillId="4" borderId="0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49" fontId="0" fillId="4" borderId="0" xfId="0" applyNumberFormat="1" applyFill="1" applyBorder="1" applyAlignment="1">
      <alignment horizontal="center" vertical="center"/>
    </xf>
    <xf numFmtId="49" fontId="6" fillId="4" borderId="0" xfId="0" applyNumberFormat="1" applyFont="1" applyFill="1" applyBorder="1" applyAlignment="1">
      <alignment horizontal="left" vertical="center" indent="1"/>
    </xf>
    <xf numFmtId="0" fontId="0" fillId="0" borderId="0" xfId="0" applyAlignment="1">
      <alignment vertical="center"/>
    </xf>
    <xf numFmtId="49" fontId="6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indent="1"/>
    </xf>
    <xf numFmtId="0" fontId="6" fillId="0" borderId="0" xfId="0" applyFont="1" applyBorder="1" applyAlignment="1">
      <alignment horizontal="right" vertical="center" indent="1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horizontal="right" vertical="center" indent="1"/>
    </xf>
    <xf numFmtId="164" fontId="0" fillId="0" borderId="0" xfId="0" applyNumberFormat="1" applyBorder="1" applyAlignment="1">
      <alignment horizontal="right" vertical="center" indent="1"/>
    </xf>
    <xf numFmtId="0" fontId="0" fillId="0" borderId="0" xfId="0" applyAlignment="1">
      <alignment horizontal="left" vertical="center" wrapText="1" indent="1"/>
    </xf>
    <xf numFmtId="1" fontId="0" fillId="0" borderId="10" xfId="0" applyNumberFormat="1" applyFont="1" applyBorder="1" applyAlignment="1">
      <alignment horizontal="right" vertical="center"/>
    </xf>
    <xf numFmtId="49" fontId="3" fillId="0" borderId="10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0" fillId="4" borderId="0" xfId="0" applyFill="1" applyAlignment="1">
      <alignment vertical="center"/>
    </xf>
    <xf numFmtId="1" fontId="0" fillId="0" borderId="6" xfId="0" applyNumberFormat="1" applyFont="1" applyBorder="1" applyAlignment="1">
      <alignment horizontal="right" vertical="center"/>
    </xf>
    <xf numFmtId="49" fontId="0" fillId="0" borderId="6" xfId="0" applyNumberForma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49" fontId="0" fillId="4" borderId="7" xfId="0" applyNumberFormat="1" applyFill="1" applyBorder="1" applyAlignment="1">
      <alignment horizontal="center" vertical="center"/>
    </xf>
    <xf numFmtId="1" fontId="0" fillId="4" borderId="4" xfId="0" applyNumberFormat="1" applyFont="1" applyFill="1" applyBorder="1" applyAlignment="1">
      <alignment horizontal="right" vertical="center"/>
    </xf>
    <xf numFmtId="49" fontId="3" fillId="4" borderId="4" xfId="0" applyNumberFormat="1" applyFont="1" applyFill="1" applyBorder="1" applyAlignment="1">
      <alignment horizontal="center" vertical="center"/>
    </xf>
    <xf numFmtId="49" fontId="0" fillId="4" borderId="4" xfId="0" applyNumberFormat="1" applyFill="1" applyBorder="1" applyAlignment="1">
      <alignment horizontal="center" vertical="center"/>
    </xf>
    <xf numFmtId="49" fontId="0" fillId="4" borderId="4" xfId="0" applyNumberFormat="1" applyFill="1" applyBorder="1" applyAlignment="1">
      <alignment horizontal="left" vertical="center" indent="1"/>
    </xf>
    <xf numFmtId="0" fontId="2" fillId="4" borderId="4" xfId="0" applyFont="1" applyFill="1" applyBorder="1" applyAlignment="1">
      <alignment horizontal="left" vertical="center" indent="1"/>
    </xf>
    <xf numFmtId="0" fontId="0" fillId="0" borderId="6" xfId="0" applyBorder="1" applyAlignment="1">
      <alignment horizontal="right" vertical="center" indent="1"/>
    </xf>
    <xf numFmtId="164" fontId="0" fillId="0" borderId="6" xfId="0" applyNumberFormat="1" applyBorder="1" applyAlignment="1">
      <alignment horizontal="right" vertical="center" indent="1"/>
    </xf>
    <xf numFmtId="0" fontId="0" fillId="0" borderId="0" xfId="0" applyBorder="1" applyAlignment="1">
      <alignment horizontal="left" vertical="center" wrapText="1" indent="1"/>
    </xf>
    <xf numFmtId="164" fontId="5" fillId="3" borderId="0" xfId="0" applyNumberFormat="1" applyFont="1" applyFill="1" applyBorder="1" applyAlignment="1">
      <alignment horizontal="right" vertical="center" indent="1"/>
    </xf>
    <xf numFmtId="49" fontId="15" fillId="3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2" fontId="0" fillId="0" borderId="9" xfId="0" applyNumberFormat="1" applyBorder="1" applyAlignment="1">
      <alignment horizontal="right" vertical="center" indent="1"/>
    </xf>
    <xf numFmtId="2" fontId="0" fillId="0" borderId="0" xfId="0" applyNumberFormat="1" applyAlignment="1">
      <alignment horizontal="right" vertical="center" indent="1"/>
    </xf>
    <xf numFmtId="2" fontId="3" fillId="5" borderId="8" xfId="0" applyNumberFormat="1" applyFont="1" applyFill="1" applyBorder="1" applyAlignment="1">
      <alignment horizontal="right" vertical="center" indent="1"/>
    </xf>
    <xf numFmtId="2" fontId="0" fillId="0" borderId="0" xfId="0" applyNumberFormat="1" applyBorder="1" applyAlignment="1">
      <alignment horizontal="right" vertical="center" indent="1"/>
    </xf>
    <xf numFmtId="2" fontId="0" fillId="0" borderId="4" xfId="0" applyNumberFormat="1" applyBorder="1" applyAlignment="1">
      <alignment horizontal="right" vertical="center" indent="1"/>
    </xf>
    <xf numFmtId="2" fontId="0" fillId="0" borderId="7" xfId="0" applyNumberFormat="1" applyBorder="1" applyAlignment="1">
      <alignment vertical="center"/>
    </xf>
    <xf numFmtId="2" fontId="6" fillId="0" borderId="6" xfId="0" applyNumberFormat="1" applyFont="1" applyBorder="1" applyAlignment="1">
      <alignment horizontal="right" vertical="center" indent="1"/>
    </xf>
    <xf numFmtId="2" fontId="0" fillId="0" borderId="0" xfId="0" applyNumberFormat="1" applyAlignment="1">
      <alignment vertical="center"/>
    </xf>
    <xf numFmtId="2" fontId="0" fillId="0" borderId="6" xfId="0" applyNumberFormat="1" applyBorder="1" applyAlignment="1">
      <alignment horizontal="right" vertical="center" indent="1"/>
    </xf>
    <xf numFmtId="2" fontId="0" fillId="4" borderId="4" xfId="0" applyNumberFormat="1" applyFill="1" applyBorder="1" applyAlignment="1">
      <alignment horizontal="right" vertical="center" indent="1"/>
    </xf>
    <xf numFmtId="2" fontId="6" fillId="0" borderId="0" xfId="0" applyNumberFormat="1" applyFont="1" applyBorder="1" applyAlignment="1">
      <alignment horizontal="right" vertical="center" indent="1"/>
    </xf>
    <xf numFmtId="0" fontId="0" fillId="0" borderId="0" xfId="0" applyBorder="1" applyAlignment="1">
      <alignment horizontal="left" vertical="center" inden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" fontId="16" fillId="0" borderId="7" xfId="0" applyNumberFormat="1" applyFont="1" applyBorder="1" applyAlignment="1">
      <alignment horizontal="right" vertical="center"/>
    </xf>
    <xf numFmtId="49" fontId="16" fillId="0" borderId="7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vertical="center"/>
    </xf>
    <xf numFmtId="2" fontId="16" fillId="0" borderId="7" xfId="0" applyNumberFormat="1" applyFont="1" applyBorder="1" applyAlignment="1">
      <alignment vertical="center"/>
    </xf>
    <xf numFmtId="1" fontId="16" fillId="3" borderId="5" xfId="0" applyNumberFormat="1" applyFont="1" applyFill="1" applyBorder="1" applyAlignment="1">
      <alignment horizontal="right" vertical="center"/>
    </xf>
    <xf numFmtId="49" fontId="16" fillId="3" borderId="0" xfId="0" applyNumberFormat="1" applyFont="1" applyFill="1" applyBorder="1" applyAlignment="1">
      <alignment horizontal="center" vertical="center"/>
    </xf>
    <xf numFmtId="49" fontId="16" fillId="0" borderId="0" xfId="0" applyNumberFormat="1" applyFont="1" applyBorder="1" applyAlignment="1">
      <alignment horizontal="left" vertical="center" indent="1"/>
    </xf>
    <xf numFmtId="0" fontId="16" fillId="0" borderId="0" xfId="0" applyFont="1" applyBorder="1" applyAlignment="1">
      <alignment horizontal="left" vertical="center" indent="1"/>
    </xf>
    <xf numFmtId="0" fontId="16" fillId="0" borderId="0" xfId="0" applyFont="1" applyBorder="1" applyAlignment="1">
      <alignment horizontal="right" vertical="center" indent="1"/>
    </xf>
    <xf numFmtId="2" fontId="16" fillId="0" borderId="0" xfId="0" applyNumberFormat="1" applyFont="1" applyBorder="1" applyAlignment="1">
      <alignment horizontal="right" vertical="center" indent="1"/>
    </xf>
    <xf numFmtId="164" fontId="16" fillId="0" borderId="0" xfId="0" applyNumberFormat="1" applyFont="1" applyBorder="1" applyAlignment="1">
      <alignment horizontal="right" vertical="center" indent="1"/>
    </xf>
    <xf numFmtId="1" fontId="16" fillId="0" borderId="0" xfId="0" applyNumberFormat="1" applyFont="1" applyBorder="1" applyAlignment="1">
      <alignment horizontal="right" vertical="center"/>
    </xf>
    <xf numFmtId="49" fontId="19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1" fontId="16" fillId="0" borderId="6" xfId="0" applyNumberFormat="1" applyFont="1" applyBorder="1" applyAlignment="1">
      <alignment horizontal="right" vertical="center"/>
    </xf>
    <xf numFmtId="49" fontId="16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left" vertical="center" indent="1"/>
    </xf>
    <xf numFmtId="49" fontId="20" fillId="0" borderId="6" xfId="0" applyNumberFormat="1" applyFont="1" applyBorder="1" applyAlignment="1">
      <alignment horizontal="center" vertical="center"/>
    </xf>
    <xf numFmtId="0" fontId="20" fillId="0" borderId="6" xfId="0" applyFont="1" applyBorder="1" applyAlignment="1">
      <alignment horizontal="right" vertical="center" indent="1"/>
    </xf>
    <xf numFmtId="2" fontId="20" fillId="0" borderId="6" xfId="0" applyNumberFormat="1" applyFont="1" applyBorder="1" applyAlignment="1">
      <alignment horizontal="right" vertical="center" indent="1"/>
    </xf>
    <xf numFmtId="0" fontId="20" fillId="0" borderId="6" xfId="0" applyFont="1" applyBorder="1" applyAlignment="1">
      <alignment vertical="center"/>
    </xf>
    <xf numFmtId="0" fontId="0" fillId="3" borderId="11" xfId="0" applyFill="1" applyBorder="1" applyAlignment="1">
      <alignment horizontal="center" vertical="center" wrapText="1"/>
    </xf>
    <xf numFmtId="49" fontId="7" fillId="4" borderId="4" xfId="0" applyNumberFormat="1" applyFont="1" applyFill="1" applyBorder="1" applyAlignment="1">
      <alignment horizontal="left" vertical="center"/>
    </xf>
    <xf numFmtId="0" fontId="0" fillId="4" borderId="4" xfId="0" applyFill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0" fontId="0" fillId="3" borderId="1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1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horizontal="center" vertical="center"/>
    </xf>
    <xf numFmtId="164" fontId="5" fillId="3" borderId="6" xfId="0" applyNumberFormat="1" applyFont="1" applyFill="1" applyBorder="1" applyAlignment="1">
      <alignment horizontal="right" vertical="center" indent="1"/>
    </xf>
    <xf numFmtId="1" fontId="0" fillId="0" borderId="0" xfId="0" applyNumberFormat="1" applyFont="1" applyAlignment="1">
      <alignment horizontal="right" vertical="center"/>
    </xf>
    <xf numFmtId="0" fontId="24" fillId="0" borderId="0" xfId="0" applyFont="1" applyAlignment="1">
      <alignment vertical="center"/>
    </xf>
    <xf numFmtId="0" fontId="2" fillId="5" borderId="8" xfId="0" applyFont="1" applyFill="1" applyBorder="1" applyAlignment="1">
      <alignment horizontal="left" vertical="center" indent="1"/>
    </xf>
    <xf numFmtId="0" fontId="0" fillId="0" borderId="0" xfId="0" applyBorder="1" applyAlignment="1">
      <alignment vertical="center"/>
    </xf>
    <xf numFmtId="0" fontId="0" fillId="4" borderId="0" xfId="0" applyFill="1" applyAlignment="1">
      <alignment horizontal="center" vertical="center"/>
    </xf>
    <xf numFmtId="1" fontId="0" fillId="4" borderId="0" xfId="0" applyNumberFormat="1" applyFont="1" applyFill="1" applyBorder="1" applyAlignment="1">
      <alignment horizontal="center" vertical="center"/>
    </xf>
    <xf numFmtId="49" fontId="0" fillId="4" borderId="0" xfId="0" applyNumberFormat="1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0" borderId="18" xfId="0" applyBorder="1" applyAlignment="1">
      <alignment horizontal="left" vertical="center" wrapText="1" indent="1"/>
    </xf>
    <xf numFmtId="0" fontId="9" fillId="0" borderId="12" xfId="0" applyFont="1" applyBorder="1" applyAlignment="1">
      <alignment horizontal="left" vertical="center" wrapText="1" indent="1"/>
    </xf>
    <xf numFmtId="0" fontId="0" fillId="0" borderId="12" xfId="0" applyBorder="1" applyAlignment="1">
      <alignment horizontal="left" vertical="center" wrapText="1" indent="1"/>
    </xf>
    <xf numFmtId="0" fontId="0" fillId="0" borderId="19" xfId="0" applyBorder="1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26" fillId="0" borderId="0" xfId="0" applyFont="1" applyAlignment="1">
      <alignment vertical="center"/>
    </xf>
    <xf numFmtId="0" fontId="0" fillId="0" borderId="0" xfId="0" applyAlignment="1">
      <alignment horizontal="left" vertical="center" indent="2"/>
    </xf>
    <xf numFmtId="0" fontId="0" fillId="2" borderId="1" xfId="0" applyFill="1" applyBorder="1" applyAlignment="1">
      <alignment horizontal="left" vertical="center" wrapText="1" indent="2"/>
    </xf>
    <xf numFmtId="164" fontId="2" fillId="0" borderId="0" xfId="0" applyNumberFormat="1" applyFont="1" applyAlignment="1">
      <alignment horizontal="left" vertical="center" indent="2"/>
    </xf>
    <xf numFmtId="164" fontId="7" fillId="0" borderId="1" xfId="0" applyNumberFormat="1" applyFont="1" applyBorder="1" applyAlignment="1">
      <alignment horizontal="left" vertical="center" indent="2"/>
    </xf>
    <xf numFmtId="0" fontId="26" fillId="0" borderId="0" xfId="0" applyFont="1" applyAlignment="1">
      <alignment horizontal="left" vertical="center" indent="2"/>
    </xf>
    <xf numFmtId="0" fontId="0" fillId="0" borderId="18" xfId="0" applyBorder="1" applyAlignment="1">
      <alignment vertical="center"/>
    </xf>
    <xf numFmtId="0" fontId="9" fillId="0" borderId="12" xfId="0" applyFont="1" applyBorder="1"/>
    <xf numFmtId="0" fontId="0" fillId="0" borderId="12" xfId="0" applyBorder="1" applyAlignment="1">
      <alignment vertical="center"/>
    </xf>
    <xf numFmtId="49" fontId="5" fillId="3" borderId="0" xfId="0" applyNumberFormat="1" applyFont="1" applyFill="1" applyBorder="1" applyAlignment="1">
      <alignment horizontal="left" vertical="center" indent="1"/>
    </xf>
    <xf numFmtId="49" fontId="0" fillId="0" borderId="0" xfId="0" applyNumberFormat="1" applyFont="1" applyBorder="1" applyAlignment="1">
      <alignment horizontal="left" vertical="center" indent="1"/>
    </xf>
    <xf numFmtId="2" fontId="0" fillId="0" borderId="0" xfId="0" applyNumberFormat="1" applyBorder="1" applyAlignment="1">
      <alignment vertical="center"/>
    </xf>
    <xf numFmtId="0" fontId="4" fillId="0" borderId="0" xfId="0" applyFont="1" applyBorder="1" applyAlignment="1">
      <alignment horizontal="left" vertical="center" indent="1"/>
    </xf>
    <xf numFmtId="49" fontId="0" fillId="4" borderId="0" xfId="0" applyNumberFormat="1" applyFont="1" applyFill="1" applyBorder="1" applyAlignment="1">
      <alignment horizontal="left" vertical="center" indent="1"/>
    </xf>
    <xf numFmtId="0" fontId="13" fillId="0" borderId="12" xfId="0" applyFont="1" applyBorder="1" applyAlignment="1">
      <alignment horizontal="left" vertical="center" wrapText="1" indent="1"/>
    </xf>
    <xf numFmtId="0" fontId="0" fillId="4" borderId="0" xfId="0" applyFill="1" applyBorder="1" applyAlignment="1">
      <alignment vertical="center"/>
    </xf>
    <xf numFmtId="2" fontId="0" fillId="4" borderId="0" xfId="0" applyNumberFormat="1" applyFill="1" applyBorder="1" applyAlignment="1">
      <alignment vertical="center"/>
    </xf>
    <xf numFmtId="0" fontId="11" fillId="0" borderId="2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horizontal="left" vertical="center" wrapText="1" indent="1"/>
    </xf>
    <xf numFmtId="164" fontId="5" fillId="0" borderId="0" xfId="0" applyNumberFormat="1" applyFont="1" applyFill="1" applyBorder="1" applyAlignment="1">
      <alignment horizontal="right" vertical="center" indent="1"/>
    </xf>
    <xf numFmtId="0" fontId="21" fillId="0" borderId="12" xfId="0" applyFont="1" applyBorder="1" applyAlignment="1">
      <alignment horizontal="left" vertical="center" indent="1"/>
    </xf>
    <xf numFmtId="0" fontId="8" fillId="0" borderId="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6" xfId="0" applyBorder="1" applyAlignment="1">
      <alignment vertical="center"/>
    </xf>
    <xf numFmtId="49" fontId="7" fillId="4" borderId="22" xfId="0" applyNumberFormat="1" applyFont="1" applyFill="1" applyBorder="1" applyAlignment="1">
      <alignment horizontal="left" vertical="center"/>
    </xf>
    <xf numFmtId="0" fontId="0" fillId="4" borderId="19" xfId="0" applyFill="1" applyBorder="1" applyAlignment="1">
      <alignment vertical="center"/>
    </xf>
    <xf numFmtId="0" fontId="0" fillId="0" borderId="19" xfId="0" applyBorder="1" applyAlignment="1">
      <alignment vertical="center"/>
    </xf>
    <xf numFmtId="1" fontId="3" fillId="0" borderId="0" xfId="0" applyNumberFormat="1" applyFont="1" applyBorder="1" applyAlignment="1">
      <alignment horizontal="left" vertical="center" indent="1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6" xfId="0" applyFont="1" applyBorder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21" xfId="0" applyFont="1" applyBorder="1" applyAlignment="1">
      <alignment horizontal="left" vertical="center" indent="1"/>
    </xf>
    <xf numFmtId="0" fontId="3" fillId="0" borderId="12" xfId="0" applyFont="1" applyBorder="1" applyAlignment="1">
      <alignment vertical="center"/>
    </xf>
    <xf numFmtId="0" fontId="6" fillId="0" borderId="12" xfId="0" applyFont="1" applyBorder="1" applyAlignment="1">
      <alignment horizontal="left" vertical="center"/>
    </xf>
    <xf numFmtId="0" fontId="3" fillId="0" borderId="22" xfId="0" applyFont="1" applyBorder="1" applyAlignment="1">
      <alignment vertical="center"/>
    </xf>
    <xf numFmtId="1" fontId="3" fillId="0" borderId="4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49" fontId="28" fillId="0" borderId="6" xfId="1" applyNumberFormat="1" applyFont="1" applyBorder="1" applyAlignment="1">
      <alignment horizontal="center" vertical="center"/>
    </xf>
    <xf numFmtId="0" fontId="3" fillId="0" borderId="23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7" fillId="0" borderId="0" xfId="0" applyFont="1" applyAlignment="1">
      <alignment horizontal="left" vertical="center" indent="1"/>
    </xf>
    <xf numFmtId="0" fontId="7" fillId="0" borderId="0" xfId="0" applyFont="1" applyBorder="1" applyAlignment="1">
      <alignment horizontal="left" vertical="center" indent="1"/>
    </xf>
    <xf numFmtId="164" fontId="7" fillId="0" borderId="0" xfId="0" applyNumberFormat="1" applyFont="1" applyBorder="1" applyAlignment="1">
      <alignment horizontal="center" vertical="center"/>
    </xf>
    <xf numFmtId="49" fontId="8" fillId="4" borderId="0" xfId="0" applyNumberFormat="1" applyFont="1" applyFill="1" applyBorder="1" applyAlignment="1">
      <alignment horizontal="left" vertical="center"/>
    </xf>
    <xf numFmtId="0" fontId="24" fillId="0" borderId="12" xfId="0" applyFont="1" applyBorder="1" applyAlignment="1">
      <alignment vertical="center"/>
    </xf>
    <xf numFmtId="49" fontId="3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right" vertical="center"/>
    </xf>
    <xf numFmtId="49" fontId="7" fillId="4" borderId="0" xfId="0" applyNumberFormat="1" applyFont="1" applyFill="1" applyBorder="1" applyAlignment="1">
      <alignment horizontal="left" vertical="center"/>
    </xf>
    <xf numFmtId="0" fontId="0" fillId="4" borderId="0" xfId="0" applyFill="1" applyAlignment="1">
      <alignment horizontal="center" vertical="center" wrapText="1"/>
    </xf>
    <xf numFmtId="0" fontId="7" fillId="0" borderId="0" xfId="0" applyFont="1" applyBorder="1" applyAlignment="1">
      <alignment horizontal="left" vertical="center" indent="1"/>
    </xf>
    <xf numFmtId="0" fontId="24" fillId="0" borderId="0" xfId="0" applyFont="1" applyBorder="1" applyAlignment="1">
      <alignment horizontal="left" vertical="center" indent="2"/>
    </xf>
    <xf numFmtId="0" fontId="0" fillId="3" borderId="8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49" fontId="32" fillId="0" borderId="6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left" vertical="center" indent="1"/>
    </xf>
    <xf numFmtId="0" fontId="0" fillId="0" borderId="0" xfId="0" applyFill="1" applyBorder="1" applyAlignment="1">
      <alignment horizontal="right" vertical="center" indent="1"/>
    </xf>
    <xf numFmtId="2" fontId="0" fillId="0" borderId="0" xfId="0" applyNumberFormat="1" applyFill="1" applyBorder="1" applyAlignment="1">
      <alignment horizontal="right" vertical="center" indent="1"/>
    </xf>
    <xf numFmtId="0" fontId="14" fillId="0" borderId="0" xfId="0" applyFont="1" applyFill="1" applyBorder="1" applyAlignment="1">
      <alignment horizontal="left" vertical="center" indent="1"/>
    </xf>
    <xf numFmtId="0" fontId="14" fillId="0" borderId="0" xfId="0" applyFont="1" applyFill="1" applyBorder="1" applyAlignment="1">
      <alignment horizontal="right" vertical="center" indent="1"/>
    </xf>
    <xf numFmtId="2" fontId="14" fillId="0" borderId="0" xfId="0" applyNumberFormat="1" applyFont="1" applyFill="1" applyBorder="1" applyAlignment="1">
      <alignment horizontal="right" vertical="center" indent="1"/>
    </xf>
    <xf numFmtId="49" fontId="0" fillId="0" borderId="0" xfId="0" applyNumberFormat="1" applyFont="1" applyFill="1" applyBorder="1" applyAlignment="1">
      <alignment horizontal="left" vertical="center" indent="1"/>
    </xf>
    <xf numFmtId="49" fontId="0" fillId="0" borderId="0" xfId="0" applyNumberFormat="1" applyFill="1" applyBorder="1" applyAlignment="1">
      <alignment horizontal="left" vertical="center" indent="1"/>
    </xf>
    <xf numFmtId="0" fontId="14" fillId="0" borderId="0" xfId="0" applyFont="1" applyBorder="1" applyAlignment="1">
      <alignment horizontal="left" vertical="center" indent="1"/>
    </xf>
    <xf numFmtId="0" fontId="0" fillId="0" borderId="12" xfId="0" applyFill="1" applyBorder="1" applyAlignment="1">
      <alignment horizontal="left" vertical="center" wrapText="1" indent="1"/>
    </xf>
    <xf numFmtId="164" fontId="0" fillId="0" borderId="0" xfId="0" applyNumberFormat="1" applyFill="1" applyBorder="1" applyAlignment="1">
      <alignment horizontal="right" vertical="center" indent="1"/>
    </xf>
    <xf numFmtId="0" fontId="0" fillId="0" borderId="0" xfId="0" applyFill="1" applyBorder="1" applyAlignment="1">
      <alignment horizontal="left" vertical="center" wrapText="1" indent="1"/>
    </xf>
    <xf numFmtId="0" fontId="14" fillId="0" borderId="12" xfId="0" applyFont="1" applyFill="1" applyBorder="1" applyAlignment="1">
      <alignment horizontal="left" vertical="center" indent="2"/>
    </xf>
    <xf numFmtId="0" fontId="14" fillId="0" borderId="12" xfId="0" applyFont="1" applyFill="1" applyBorder="1" applyAlignment="1">
      <alignment horizontal="left" vertical="center" wrapText="1" indent="1"/>
    </xf>
    <xf numFmtId="0" fontId="14" fillId="0" borderId="0" xfId="0" applyFont="1" applyFill="1" applyBorder="1" applyAlignment="1">
      <alignment horizontal="left" vertical="center" wrapText="1" indent="1"/>
    </xf>
    <xf numFmtId="49" fontId="36" fillId="3" borderId="0" xfId="0" applyNumberFormat="1" applyFont="1" applyFill="1" applyBorder="1" applyAlignment="1">
      <alignment horizontal="left" vertical="center" indent="1"/>
    </xf>
    <xf numFmtId="0" fontId="0" fillId="0" borderId="0" xfId="0" applyFill="1" applyBorder="1" applyAlignment="1">
      <alignment horizontal="left" vertical="center" indent="1"/>
    </xf>
    <xf numFmtId="49" fontId="3" fillId="0" borderId="0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left" vertical="center" indent="1"/>
    </xf>
    <xf numFmtId="0" fontId="0" fillId="0" borderId="0" xfId="0" applyFill="1" applyBorder="1" applyAlignment="1">
      <alignment vertical="center"/>
    </xf>
    <xf numFmtId="0" fontId="36" fillId="0" borderId="6" xfId="0" applyFont="1" applyFill="1" applyBorder="1" applyAlignment="1">
      <alignment horizontal="left" vertical="center" indent="1"/>
    </xf>
    <xf numFmtId="49" fontId="36" fillId="0" borderId="6" xfId="0" applyNumberFormat="1" applyFont="1" applyFill="1" applyBorder="1" applyAlignment="1">
      <alignment horizontal="left" vertical="center" indent="1"/>
    </xf>
    <xf numFmtId="0" fontId="14" fillId="0" borderId="0" xfId="0" applyFont="1" applyFill="1" applyBorder="1" applyAlignment="1">
      <alignment vertical="center"/>
    </xf>
    <xf numFmtId="164" fontId="14" fillId="0" borderId="0" xfId="0" applyNumberFormat="1" applyFont="1" applyFill="1" applyBorder="1" applyAlignment="1">
      <alignment horizontal="right" vertical="center" indent="1"/>
    </xf>
    <xf numFmtId="0" fontId="5" fillId="0" borderId="6" xfId="0" applyFont="1" applyFill="1" applyBorder="1" applyAlignment="1">
      <alignment horizontal="left" vertical="center" indent="1"/>
    </xf>
    <xf numFmtId="49" fontId="37" fillId="0" borderId="6" xfId="0" applyNumberFormat="1" applyFont="1" applyFill="1" applyBorder="1" applyAlignment="1">
      <alignment horizontal="left" vertical="center" indent="1"/>
    </xf>
    <xf numFmtId="49" fontId="38" fillId="3" borderId="5" xfId="0" applyNumberFormat="1" applyFont="1" applyFill="1" applyBorder="1" applyAlignment="1">
      <alignment horizontal="center" vertical="center"/>
    </xf>
    <xf numFmtId="49" fontId="36" fillId="0" borderId="0" xfId="0" applyNumberFormat="1" applyFont="1" applyFill="1" applyBorder="1" applyAlignment="1">
      <alignment horizontal="left" vertical="center" indent="1"/>
    </xf>
    <xf numFmtId="49" fontId="31" fillId="0" borderId="0" xfId="0" applyNumberFormat="1" applyFont="1" applyAlignment="1">
      <alignment horizontal="center" vertical="center"/>
    </xf>
    <xf numFmtId="0" fontId="0" fillId="0" borderId="0" xfId="0" applyFill="1" applyBorder="1" applyAlignment="1">
      <alignment horizontal="left" vertical="center" indent="1"/>
    </xf>
    <xf numFmtId="0" fontId="0" fillId="0" borderId="7" xfId="0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left" vertical="center" indent="1"/>
    </xf>
    <xf numFmtId="49" fontId="7" fillId="0" borderId="0" xfId="0" applyNumberFormat="1" applyFont="1" applyFill="1" applyAlignment="1">
      <alignment horizontal="left" vertical="center" indent="2"/>
    </xf>
    <xf numFmtId="0" fontId="0" fillId="0" borderId="0" xfId="0" applyFill="1" applyAlignment="1">
      <alignment horizontal="left" vertical="center" indent="2"/>
    </xf>
    <xf numFmtId="0" fontId="0" fillId="0" borderId="0" xfId="0" applyFill="1" applyAlignment="1">
      <alignment horizontal="left" vertical="center" indent="2"/>
    </xf>
    <xf numFmtId="49" fontId="7" fillId="0" borderId="0" xfId="0" applyNumberFormat="1" applyFont="1" applyFill="1" applyAlignment="1">
      <alignment horizontal="left" vertical="center" indent="2"/>
    </xf>
    <xf numFmtId="49" fontId="7" fillId="0" borderId="0" xfId="0" applyNumberFormat="1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" fontId="0" fillId="0" borderId="0" xfId="0" applyNumberFormat="1" applyFont="1" applyFill="1" applyBorder="1" applyAlignment="1">
      <alignment horizontal="right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0" fontId="0" fillId="0" borderId="18" xfId="0" applyFill="1" applyBorder="1" applyAlignment="1">
      <alignment horizontal="left" vertical="center" wrapText="1" indent="1"/>
    </xf>
    <xf numFmtId="0" fontId="13" fillId="0" borderId="12" xfId="0" applyFont="1" applyFill="1" applyBorder="1" applyAlignment="1">
      <alignment horizontal="left" vertical="center" wrapText="1" indent="1"/>
    </xf>
    <xf numFmtId="0" fontId="0" fillId="0" borderId="19" xfId="0" applyFill="1" applyBorder="1" applyAlignment="1">
      <alignment horizontal="left" vertical="center" wrapText="1" indent="1"/>
    </xf>
    <xf numFmtId="49" fontId="6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 indent="1"/>
    </xf>
    <xf numFmtId="2" fontId="6" fillId="0" borderId="6" xfId="0" applyNumberFormat="1" applyFont="1" applyFill="1" applyBorder="1" applyAlignment="1">
      <alignment horizontal="right" vertical="center" indent="1"/>
    </xf>
    <xf numFmtId="0" fontId="6" fillId="0" borderId="6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1" fontId="0" fillId="0" borderId="6" xfId="0" applyNumberFormat="1" applyFont="1" applyFill="1" applyBorder="1" applyAlignment="1">
      <alignment horizontal="right" vertical="center"/>
    </xf>
    <xf numFmtId="49" fontId="0" fillId="0" borderId="6" xfId="0" applyNumberForma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left" vertical="center" indent="1"/>
    </xf>
    <xf numFmtId="49" fontId="0" fillId="0" borderId="7" xfId="0" applyNumberFormat="1" applyFill="1" applyBorder="1" applyAlignment="1">
      <alignment horizontal="center" vertical="center"/>
    </xf>
    <xf numFmtId="49" fontId="25" fillId="0" borderId="0" xfId="0" applyNumberFormat="1" applyFont="1" applyFill="1" applyAlignment="1">
      <alignment horizontal="left" vertical="center" indent="2"/>
    </xf>
    <xf numFmtId="49" fontId="6" fillId="0" borderId="0" xfId="0" applyNumberFormat="1" applyFont="1" applyFill="1" applyBorder="1" applyAlignment="1">
      <alignment horizontal="left" vertical="center" indent="1"/>
    </xf>
    <xf numFmtId="0" fontId="26" fillId="0" borderId="0" xfId="0" applyFont="1" applyFill="1" applyAlignment="1">
      <alignment horizontal="left" vertical="center" indent="2"/>
    </xf>
    <xf numFmtId="2" fontId="0" fillId="0" borderId="7" xfId="0" applyNumberFormat="1" applyFill="1" applyBorder="1" applyAlignment="1">
      <alignment vertical="center"/>
    </xf>
    <xf numFmtId="2" fontId="0" fillId="0" borderId="0" xfId="0" applyNumberFormat="1" applyFill="1" applyBorder="1" applyAlignment="1">
      <alignment vertical="center"/>
    </xf>
    <xf numFmtId="1" fontId="0" fillId="0" borderId="0" xfId="0" applyNumberFormat="1" applyFont="1" applyFill="1" applyAlignment="1">
      <alignment horizontal="right" vertical="center"/>
    </xf>
    <xf numFmtId="49" fontId="3" fillId="0" borderId="0" xfId="0" applyNumberFormat="1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1" fontId="16" fillId="0" borderId="0" xfId="0" applyNumberFormat="1" applyFont="1" applyFill="1" applyBorder="1" applyAlignment="1">
      <alignment horizontal="right" vertical="center"/>
    </xf>
    <xf numFmtId="49" fontId="17" fillId="0" borderId="0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left" vertical="center" indent="1"/>
    </xf>
    <xf numFmtId="0" fontId="0" fillId="0" borderId="4" xfId="0" applyFill="1" applyBorder="1" applyAlignment="1">
      <alignment horizontal="right" vertical="center" indent="1"/>
    </xf>
    <xf numFmtId="164" fontId="0" fillId="0" borderId="4" xfId="0" applyNumberFormat="1" applyFill="1" applyBorder="1" applyAlignment="1">
      <alignment horizontal="right" vertical="center" indent="1"/>
    </xf>
    <xf numFmtId="164" fontId="2" fillId="0" borderId="4" xfId="0" applyNumberFormat="1" applyFont="1" applyFill="1" applyBorder="1" applyAlignment="1">
      <alignment horizontal="right" vertical="center" indent="1"/>
    </xf>
    <xf numFmtId="49" fontId="6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indent="1"/>
    </xf>
    <xf numFmtId="0" fontId="6" fillId="0" borderId="0" xfId="0" applyFont="1" applyFill="1" applyBorder="1" applyAlignment="1">
      <alignment horizontal="right" vertical="center" indent="1"/>
    </xf>
    <xf numFmtId="2" fontId="6" fillId="0" borderId="0" xfId="0" applyNumberFormat="1" applyFont="1" applyFill="1" applyBorder="1" applyAlignment="1">
      <alignment horizontal="right" vertical="center" indent="1"/>
    </xf>
    <xf numFmtId="0" fontId="6" fillId="0" borderId="0" xfId="0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" fontId="0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5" fillId="0" borderId="6" xfId="0" applyNumberFormat="1" applyFont="1" applyBorder="1" applyAlignment="1">
      <alignment horizontal="left" vertical="center" inden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" fontId="0" fillId="0" borderId="4" xfId="0" applyNumberFormat="1" applyFont="1" applyFill="1" applyBorder="1" applyAlignment="1">
      <alignment horizontal="right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left" vertical="center" indent="1"/>
    </xf>
    <xf numFmtId="0" fontId="2" fillId="0" borderId="4" xfId="0" applyFont="1" applyFill="1" applyBorder="1" applyAlignment="1">
      <alignment horizontal="left" vertical="center" indent="1"/>
    </xf>
    <xf numFmtId="2" fontId="0" fillId="0" borderId="4" xfId="0" applyNumberFormat="1" applyFill="1" applyBorder="1" applyAlignment="1">
      <alignment horizontal="right" vertical="center" indent="1"/>
    </xf>
    <xf numFmtId="49" fontId="1" fillId="0" borderId="0" xfId="0" applyNumberFormat="1" applyFont="1" applyFill="1" applyBorder="1" applyAlignment="1">
      <alignment horizontal="left" vertical="center" indent="1"/>
    </xf>
    <xf numFmtId="0" fontId="13" fillId="0" borderId="0" xfId="0" applyFont="1" applyFill="1" applyBorder="1" applyAlignment="1">
      <alignment horizontal="right" vertical="center"/>
    </xf>
    <xf numFmtId="2" fontId="13" fillId="0" borderId="0" xfId="0" applyNumberFormat="1" applyFont="1" applyFill="1" applyBorder="1" applyAlignment="1">
      <alignment horizontal="right" vertical="center"/>
    </xf>
    <xf numFmtId="0" fontId="21" fillId="0" borderId="12" xfId="0" applyFont="1" applyFill="1" applyBorder="1" applyAlignment="1">
      <alignment horizontal="left" vertical="center" indent="1"/>
    </xf>
    <xf numFmtId="165" fontId="2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left" vertical="center" indent="1"/>
    </xf>
    <xf numFmtId="165" fontId="0" fillId="0" borderId="0" xfId="0" applyNumberFormat="1" applyFont="1" applyFill="1" applyBorder="1" applyAlignment="1">
      <alignment horizontal="left" vertical="center" indent="1"/>
    </xf>
    <xf numFmtId="1" fontId="0" fillId="0" borderId="10" xfId="0" applyNumberFormat="1" applyFont="1" applyFill="1" applyBorder="1" applyAlignment="1">
      <alignment horizontal="right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 indent="1"/>
    </xf>
    <xf numFmtId="49" fontId="21" fillId="0" borderId="0" xfId="0" applyNumberFormat="1" applyFont="1" applyFill="1" applyBorder="1" applyAlignment="1">
      <alignment horizontal="left" vertical="center" indent="1"/>
    </xf>
    <xf numFmtId="0" fontId="0" fillId="0" borderId="0" xfId="0" applyFill="1" applyAlignment="1">
      <alignment horizontal="center" vertical="center" wrapText="1"/>
    </xf>
    <xf numFmtId="49" fontId="33" fillId="3" borderId="0" xfId="0" applyNumberFormat="1" applyFont="1" applyFill="1" applyBorder="1" applyAlignment="1">
      <alignment horizontal="left" vertical="center" indent="1"/>
    </xf>
    <xf numFmtId="164" fontId="0" fillId="7" borderId="0" xfId="0" applyNumberFormat="1" applyFill="1" applyBorder="1" applyAlignment="1" applyProtection="1">
      <alignment horizontal="right" vertical="center" indent="1"/>
      <protection locked="0"/>
    </xf>
    <xf numFmtId="164" fontId="0" fillId="0" borderId="0" xfId="0" applyNumberFormat="1" applyFill="1" applyBorder="1" applyAlignment="1" applyProtection="1">
      <alignment horizontal="right" vertical="center" indent="1"/>
      <protection locked="0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0" fillId="7" borderId="0" xfId="0" applyNumberFormat="1" applyFill="1" applyBorder="1" applyAlignment="1" applyProtection="1">
      <alignment horizontal="right" vertical="center" indent="1"/>
    </xf>
    <xf numFmtId="0" fontId="31" fillId="0" borderId="12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right" vertical="center" indent="1"/>
    </xf>
    <xf numFmtId="2" fontId="0" fillId="0" borderId="0" xfId="0" applyNumberFormat="1" applyFont="1" applyFill="1" applyBorder="1" applyAlignment="1">
      <alignment horizontal="right" vertical="center" indent="1"/>
    </xf>
    <xf numFmtId="164" fontId="0" fillId="0" borderId="0" xfId="0" applyNumberFormat="1" applyFont="1" applyFill="1" applyBorder="1" applyAlignment="1">
      <alignment horizontal="right" vertical="center" indent="1"/>
    </xf>
    <xf numFmtId="0" fontId="0" fillId="0" borderId="0" xfId="0" applyFill="1" applyBorder="1" applyAlignment="1">
      <alignment horizontal="left" vertical="center" indent="1"/>
    </xf>
    <xf numFmtId="0" fontId="7" fillId="0" borderId="0" xfId="0" applyFont="1" applyBorder="1" applyAlignment="1">
      <alignment horizontal="left" vertical="center" indent="1"/>
    </xf>
    <xf numFmtId="49" fontId="2" fillId="0" borderId="21" xfId="0" applyNumberFormat="1" applyFont="1" applyFill="1" applyBorder="1" applyAlignment="1">
      <alignment horizontal="left" vertical="center" indent="1"/>
    </xf>
    <xf numFmtId="0" fontId="8" fillId="0" borderId="4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2"/>
    </xf>
    <xf numFmtId="0" fontId="0" fillId="0" borderId="21" xfId="0" applyFill="1" applyBorder="1" applyAlignment="1">
      <alignment vertical="center"/>
    </xf>
    <xf numFmtId="0" fontId="0" fillId="0" borderId="22" xfId="0" applyFill="1" applyBorder="1" applyAlignment="1">
      <alignment vertical="center"/>
    </xf>
    <xf numFmtId="49" fontId="0" fillId="0" borderId="0" xfId="0" applyNumberFormat="1" applyFill="1" applyAlignment="1">
      <alignment vertical="center"/>
    </xf>
    <xf numFmtId="0" fontId="39" fillId="0" borderId="12" xfId="0" applyFont="1" applyFill="1" applyBorder="1" applyAlignment="1">
      <alignment horizontal="left" vertical="center" indent="1"/>
    </xf>
    <xf numFmtId="0" fontId="14" fillId="0" borderId="12" xfId="0" applyFont="1" applyFill="1" applyBorder="1" applyAlignment="1">
      <alignment horizontal="left" vertical="center" indent="1"/>
    </xf>
    <xf numFmtId="164" fontId="2" fillId="0" borderId="0" xfId="0" applyNumberFormat="1" applyFont="1" applyFill="1" applyBorder="1" applyAlignment="1">
      <alignment horizontal="right" vertical="center" indent="1"/>
    </xf>
    <xf numFmtId="0" fontId="3" fillId="0" borderId="9" xfId="0" applyFont="1" applyFill="1" applyBorder="1" applyAlignment="1">
      <alignment horizontal="left" vertical="center" indent="1"/>
    </xf>
    <xf numFmtId="0" fontId="3" fillId="0" borderId="21" xfId="0" applyFont="1" applyFill="1" applyBorder="1" applyAlignment="1">
      <alignment horizontal="left" vertical="center" indent="1"/>
    </xf>
    <xf numFmtId="1" fontId="3" fillId="0" borderId="0" xfId="0" applyNumberFormat="1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indent="1"/>
    </xf>
    <xf numFmtId="0" fontId="2" fillId="0" borderId="6" xfId="0" applyFont="1" applyFill="1" applyBorder="1" applyAlignment="1">
      <alignment horizontal="left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12" xfId="0" applyFill="1" applyBorder="1" applyAlignment="1">
      <alignment vertical="center"/>
    </xf>
    <xf numFmtId="164" fontId="7" fillId="0" borderId="1" xfId="0" applyNumberFormat="1" applyFont="1" applyFill="1" applyBorder="1" applyAlignment="1">
      <alignment vertical="center"/>
    </xf>
    <xf numFmtId="49" fontId="7" fillId="0" borderId="22" xfId="0" applyNumberFormat="1" applyFont="1" applyFill="1" applyBorder="1" applyAlignment="1">
      <alignment horizontal="left" vertical="center"/>
    </xf>
    <xf numFmtId="0" fontId="0" fillId="0" borderId="4" xfId="0" applyFill="1" applyBorder="1" applyAlignment="1">
      <alignment vertical="center"/>
    </xf>
    <xf numFmtId="0" fontId="0" fillId="0" borderId="19" xfId="0" applyFill="1" applyBorder="1" applyAlignment="1">
      <alignment vertical="center"/>
    </xf>
    <xf numFmtId="49" fontId="7" fillId="0" borderId="4" xfId="0" applyNumberFormat="1" applyFont="1" applyFill="1" applyBorder="1" applyAlignment="1">
      <alignment horizontal="left" vertical="center"/>
    </xf>
    <xf numFmtId="49" fontId="7" fillId="0" borderId="19" xfId="0" applyNumberFormat="1" applyFont="1" applyFill="1" applyBorder="1" applyAlignment="1">
      <alignment horizontal="left" vertical="center"/>
    </xf>
    <xf numFmtId="0" fontId="3" fillId="0" borderId="22" xfId="0" applyFont="1" applyFill="1" applyBorder="1" applyAlignment="1">
      <alignment vertical="center"/>
    </xf>
    <xf numFmtId="1" fontId="3" fillId="0" borderId="4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164" fontId="29" fillId="0" borderId="9" xfId="0" applyNumberFormat="1" applyFont="1" applyFill="1" applyBorder="1" applyAlignment="1">
      <alignment vertical="center"/>
    </xf>
    <xf numFmtId="0" fontId="30" fillId="0" borderId="12" xfId="0" applyFont="1" applyFill="1" applyBorder="1" applyAlignment="1">
      <alignment horizontal="left" vertical="center" indent="2"/>
    </xf>
    <xf numFmtId="0" fontId="30" fillId="0" borderId="21" xfId="0" applyFont="1" applyFill="1" applyBorder="1" applyAlignment="1">
      <alignment vertical="center"/>
    </xf>
    <xf numFmtId="1" fontId="30" fillId="0" borderId="0" xfId="0" applyNumberFormat="1" applyFont="1" applyFill="1" applyBorder="1" applyAlignment="1">
      <alignment horizontal="right" vertical="center"/>
    </xf>
    <xf numFmtId="49" fontId="30" fillId="0" borderId="0" xfId="0" applyNumberFormat="1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vertical="center"/>
    </xf>
    <xf numFmtId="0" fontId="7" fillId="0" borderId="22" xfId="0" applyFont="1" applyFill="1" applyBorder="1" applyAlignment="1">
      <alignment horizontal="left" vertical="center" indent="1"/>
    </xf>
    <xf numFmtId="0" fontId="7" fillId="0" borderId="4" xfId="0" applyFont="1" applyFill="1" applyBorder="1" applyAlignment="1">
      <alignment horizontal="left" vertical="center" indent="1"/>
    </xf>
    <xf numFmtId="164" fontId="7" fillId="0" borderId="4" xfId="0" applyNumberFormat="1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left" vertical="center" indent="2"/>
    </xf>
    <xf numFmtId="0" fontId="21" fillId="0" borderId="12" xfId="0" applyFont="1" applyFill="1" applyBorder="1" applyAlignment="1">
      <alignment horizontal="left" vertical="center" indent="2"/>
    </xf>
    <xf numFmtId="0" fontId="30" fillId="0" borderId="12" xfId="0" applyFont="1" applyFill="1" applyBorder="1" applyAlignment="1">
      <alignment vertical="center"/>
    </xf>
    <xf numFmtId="49" fontId="8" fillId="0" borderId="22" xfId="0" applyNumberFormat="1" applyFont="1" applyFill="1" applyBorder="1" applyAlignment="1">
      <alignment horizontal="left" vertical="center"/>
    </xf>
    <xf numFmtId="164" fontId="1" fillId="0" borderId="4" xfId="0" applyNumberFormat="1" applyFont="1" applyFill="1" applyBorder="1" applyAlignment="1">
      <alignment vertical="center"/>
    </xf>
    <xf numFmtId="49" fontId="8" fillId="0" borderId="20" xfId="0" applyNumberFormat="1" applyFont="1" applyFill="1" applyBorder="1" applyAlignment="1">
      <alignment horizontal="left" vertical="center"/>
    </xf>
    <xf numFmtId="0" fontId="8" fillId="0" borderId="9" xfId="0" applyFont="1" applyFill="1" applyBorder="1" applyAlignment="1">
      <alignment vertical="center"/>
    </xf>
    <xf numFmtId="164" fontId="1" fillId="0" borderId="9" xfId="0" applyNumberFormat="1" applyFont="1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24" fillId="0" borderId="12" xfId="0" applyFont="1" applyFill="1" applyBorder="1" applyAlignment="1">
      <alignment vertical="center"/>
    </xf>
    <xf numFmtId="0" fontId="24" fillId="0" borderId="21" xfId="0" applyFont="1" applyFill="1" applyBorder="1" applyAlignment="1">
      <alignment vertical="center"/>
    </xf>
    <xf numFmtId="1" fontId="24" fillId="0" borderId="0" xfId="0" applyNumberFormat="1" applyFont="1" applyFill="1" applyBorder="1" applyAlignment="1">
      <alignment horizontal="right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0" fontId="22" fillId="0" borderId="12" xfId="0" applyFont="1" applyFill="1" applyBorder="1" applyAlignment="1">
      <alignment vertical="center"/>
    </xf>
    <xf numFmtId="164" fontId="40" fillId="0" borderId="0" xfId="0" applyNumberFormat="1" applyFont="1" applyFill="1" applyBorder="1" applyAlignment="1">
      <alignment vertical="center"/>
    </xf>
    <xf numFmtId="0" fontId="41" fillId="0" borderId="12" xfId="0" applyFont="1" applyFill="1" applyBorder="1" applyAlignment="1">
      <alignment horizontal="left" vertical="center" indent="2"/>
    </xf>
    <xf numFmtId="164" fontId="43" fillId="0" borderId="0" xfId="0" applyNumberFormat="1" applyFont="1" applyFill="1" applyBorder="1" applyAlignment="1">
      <alignment vertical="center"/>
    </xf>
    <xf numFmtId="0" fontId="44" fillId="0" borderId="12" xfId="0" applyFont="1" applyFill="1" applyBorder="1" applyAlignment="1">
      <alignment horizontal="left" vertical="center" indent="2"/>
    </xf>
    <xf numFmtId="0" fontId="3" fillId="7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vertical="center"/>
    </xf>
    <xf numFmtId="0" fontId="6" fillId="0" borderId="17" xfId="0" applyFont="1" applyBorder="1" applyAlignment="1">
      <alignment vertical="top"/>
    </xf>
    <xf numFmtId="0" fontId="6" fillId="0" borderId="11" xfId="0" applyFont="1" applyBorder="1" applyAlignment="1">
      <alignment vertical="top"/>
    </xf>
    <xf numFmtId="0" fontId="6" fillId="7" borderId="16" xfId="0" applyFont="1" applyFill="1" applyBorder="1" applyAlignment="1" applyProtection="1">
      <alignment vertical="top"/>
      <protection locked="0"/>
    </xf>
    <xf numFmtId="49" fontId="3" fillId="0" borderId="0" xfId="0" applyNumberFormat="1" applyFont="1" applyBorder="1" applyAlignment="1" applyProtection="1">
      <alignment vertical="center"/>
    </xf>
    <xf numFmtId="49" fontId="8" fillId="0" borderId="21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23" fillId="0" borderId="21" xfId="0" applyFont="1" applyFill="1" applyBorder="1" applyAlignment="1">
      <alignment horizontal="left" vertical="center" indent="1"/>
    </xf>
    <xf numFmtId="0" fontId="23" fillId="0" borderId="0" xfId="0" applyFont="1" applyFill="1" applyBorder="1" applyAlignment="1">
      <alignment horizontal="left" vertical="center" indent="1"/>
    </xf>
    <xf numFmtId="0" fontId="23" fillId="0" borderId="15" xfId="0" applyFont="1" applyFill="1" applyBorder="1" applyAlignment="1">
      <alignment horizontal="left" vertical="center" indent="1"/>
    </xf>
    <xf numFmtId="164" fontId="23" fillId="6" borderId="13" xfId="0" applyNumberFormat="1" applyFont="1" applyFill="1" applyBorder="1" applyAlignment="1">
      <alignment horizontal="center" vertical="center"/>
    </xf>
    <xf numFmtId="164" fontId="23" fillId="6" borderId="14" xfId="0" applyNumberFormat="1" applyFont="1" applyFill="1" applyBorder="1" applyAlignment="1">
      <alignment horizontal="center" vertical="center"/>
    </xf>
    <xf numFmtId="49" fontId="29" fillId="3" borderId="2" xfId="0" applyNumberFormat="1" applyFont="1" applyFill="1" applyBorder="1" applyAlignment="1">
      <alignment horizontal="left" vertical="center"/>
    </xf>
    <xf numFmtId="0" fontId="30" fillId="3" borderId="8" xfId="0" applyFont="1" applyFill="1" applyBorder="1" applyAlignment="1">
      <alignment vertical="center"/>
    </xf>
    <xf numFmtId="0" fontId="30" fillId="3" borderId="3" xfId="0" applyFont="1" applyFill="1" applyBorder="1" applyAlignment="1">
      <alignment vertical="center"/>
    </xf>
    <xf numFmtId="0" fontId="29" fillId="0" borderId="21" xfId="0" applyFont="1" applyFill="1" applyBorder="1" applyAlignment="1">
      <alignment horizontal="left" vertical="center" indent="1"/>
    </xf>
    <xf numFmtId="0" fontId="29" fillId="0" borderId="0" xfId="0" applyFont="1" applyFill="1" applyBorder="1" applyAlignment="1">
      <alignment horizontal="left" vertical="center" indent="1"/>
    </xf>
    <xf numFmtId="0" fontId="29" fillId="0" borderId="15" xfId="0" applyFont="1" applyFill="1" applyBorder="1" applyAlignment="1">
      <alignment horizontal="left" vertical="center" indent="1"/>
    </xf>
    <xf numFmtId="164" fontId="29" fillId="0" borderId="13" xfId="0" applyNumberFormat="1" applyFont="1" applyFill="1" applyBorder="1" applyAlignment="1">
      <alignment horizontal="center" vertical="center"/>
    </xf>
    <xf numFmtId="164" fontId="29" fillId="0" borderId="14" xfId="0" applyNumberFormat="1" applyFont="1" applyFill="1" applyBorder="1" applyAlignment="1">
      <alignment horizontal="center" vertical="center"/>
    </xf>
    <xf numFmtId="164" fontId="23" fillId="0" borderId="13" xfId="0" applyNumberFormat="1" applyFont="1" applyFill="1" applyBorder="1" applyAlignment="1">
      <alignment horizontal="center" vertical="center"/>
    </xf>
    <xf numFmtId="164" fontId="23" fillId="0" borderId="14" xfId="0" applyNumberFormat="1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horizontal="left" vertical="center" indent="1"/>
    </xf>
    <xf numFmtId="164" fontId="7" fillId="0" borderId="6" xfId="0" applyNumberFormat="1" applyFont="1" applyFill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1"/>
    </xf>
    <xf numFmtId="49" fontId="3" fillId="0" borderId="0" xfId="0" applyNumberFormat="1" applyFont="1" applyBorder="1" applyAlignment="1">
      <alignment horizontal="center" vertical="center"/>
    </xf>
    <xf numFmtId="49" fontId="28" fillId="0" borderId="0" xfId="1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top"/>
    </xf>
    <xf numFmtId="0" fontId="6" fillId="0" borderId="17" xfId="0" applyFont="1" applyBorder="1" applyAlignment="1">
      <alignment horizontal="left" vertical="top"/>
    </xf>
    <xf numFmtId="0" fontId="6" fillId="0" borderId="11" xfId="0" applyFont="1" applyBorder="1" applyAlignment="1">
      <alignment horizontal="left" vertical="top"/>
    </xf>
    <xf numFmtId="49" fontId="42" fillId="0" borderId="21" xfId="0" applyNumberFormat="1" applyFont="1" applyFill="1" applyBorder="1" applyAlignment="1">
      <alignment horizontal="left" vertical="center"/>
    </xf>
    <xf numFmtId="49" fontId="42" fillId="0" borderId="0" xfId="0" applyNumberFormat="1" applyFont="1" applyFill="1" applyBorder="1" applyAlignment="1">
      <alignment horizontal="left" vertical="center"/>
    </xf>
    <xf numFmtId="49" fontId="7" fillId="6" borderId="2" xfId="0" applyNumberFormat="1" applyFont="1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3" xfId="0" applyFill="1" applyBorder="1" applyAlignment="1">
      <alignment vertical="center"/>
    </xf>
    <xf numFmtId="49" fontId="2" fillId="4" borderId="0" xfId="0" applyNumberFormat="1" applyFont="1" applyFill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49" fontId="2" fillId="0" borderId="20" xfId="0" applyNumberFormat="1" applyFont="1" applyFill="1" applyBorder="1" applyAlignment="1">
      <alignment horizontal="left" vertical="center" indent="1"/>
    </xf>
    <xf numFmtId="0" fontId="3" fillId="0" borderId="9" xfId="0" applyFont="1" applyFill="1" applyBorder="1" applyAlignment="1">
      <alignment horizontal="left" vertical="center" indent="1"/>
    </xf>
    <xf numFmtId="0" fontId="34" fillId="0" borderId="9" xfId="0" applyFont="1" applyFill="1" applyBorder="1" applyAlignment="1">
      <alignment horizontal="left" vertical="center"/>
    </xf>
    <xf numFmtId="0" fontId="35" fillId="0" borderId="9" xfId="0" applyFont="1" applyFill="1" applyBorder="1" applyAlignment="1">
      <alignment vertical="center"/>
    </xf>
    <xf numFmtId="0" fontId="29" fillId="0" borderId="9" xfId="0" applyFont="1" applyBorder="1" applyAlignment="1">
      <alignment horizontal="left" vertical="center" indent="2"/>
    </xf>
    <xf numFmtId="0" fontId="30" fillId="0" borderId="9" xfId="0" applyFont="1" applyBorder="1" applyAlignment="1">
      <alignment horizontal="left" vertical="center" indent="2"/>
    </xf>
    <xf numFmtId="49" fontId="3" fillId="0" borderId="9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left" vertical="center" indent="1"/>
    </xf>
    <xf numFmtId="49" fontId="7" fillId="6" borderId="2" xfId="0" applyNumberFormat="1" applyFont="1" applyFill="1" applyBorder="1" applyAlignment="1">
      <alignment horizontal="left" vertical="center"/>
    </xf>
    <xf numFmtId="0" fontId="0" fillId="6" borderId="8" xfId="0" applyFill="1" applyBorder="1" applyAlignment="1">
      <alignment vertical="center"/>
    </xf>
    <xf numFmtId="49" fontId="7" fillId="3" borderId="2" xfId="0" applyNumberFormat="1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49" fontId="1" fillId="0" borderId="22" xfId="0" applyNumberFormat="1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8" fillId="0" borderId="19" xfId="0" applyFont="1" applyFill="1" applyBorder="1" applyAlignment="1">
      <alignment vertical="center"/>
    </xf>
    <xf numFmtId="49" fontId="3" fillId="0" borderId="21" xfId="0" applyNumberFormat="1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left" vertical="center" indent="1"/>
    </xf>
    <xf numFmtId="49" fontId="1" fillId="0" borderId="21" xfId="0" applyNumberFormat="1" applyFont="1" applyFill="1" applyBorder="1" applyAlignment="1">
      <alignment horizontal="left" vertical="center"/>
    </xf>
    <xf numFmtId="0" fontId="8" fillId="0" borderId="12" xfId="0" applyFont="1" applyFill="1" applyBorder="1" applyAlignment="1">
      <alignment vertical="center"/>
    </xf>
    <xf numFmtId="0" fontId="3" fillId="0" borderId="0" xfId="0" applyNumberFormat="1" applyFont="1" applyBorder="1" applyAlignment="1">
      <alignment horizontal="center" vertical="center"/>
    </xf>
    <xf numFmtId="49" fontId="45" fillId="3" borderId="2" xfId="0" applyNumberFormat="1" applyFont="1" applyFill="1" applyBorder="1" applyAlignment="1">
      <alignment horizontal="left" vertical="center"/>
    </xf>
    <xf numFmtId="49" fontId="45" fillId="3" borderId="8" xfId="0" applyNumberFormat="1" applyFont="1" applyFill="1" applyBorder="1" applyAlignment="1">
      <alignment horizontal="left" vertical="center"/>
    </xf>
    <xf numFmtId="0" fontId="1" fillId="0" borderId="20" xfId="0" applyFont="1" applyBorder="1" applyAlignment="1">
      <alignment vertical="center" textRotation="90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2" fillId="5" borderId="2" xfId="0" applyFont="1" applyFill="1" applyBorder="1" applyAlignment="1">
      <alignment horizontal="left" vertical="center" indent="1"/>
    </xf>
    <xf numFmtId="0" fontId="0" fillId="5" borderId="8" xfId="0" applyFill="1" applyBorder="1" applyAlignment="1">
      <alignment horizontal="left" vertical="center" indent="1"/>
    </xf>
    <xf numFmtId="0" fontId="4" fillId="0" borderId="21" xfId="0" applyFont="1" applyFill="1" applyBorder="1" applyAlignment="1">
      <alignment vertical="center"/>
    </xf>
    <xf numFmtId="0" fontId="4" fillId="0" borderId="22" xfId="0" applyFont="1" applyFill="1" applyBorder="1" applyAlignment="1">
      <alignment vertical="center"/>
    </xf>
    <xf numFmtId="49" fontId="2" fillId="0" borderId="0" xfId="0" applyNumberFormat="1" applyFont="1" applyFill="1" applyAlignment="1">
      <alignment horizontal="left" vertical="center" indent="2"/>
    </xf>
    <xf numFmtId="0" fontId="0" fillId="0" borderId="0" xfId="0" applyFill="1" applyAlignment="1">
      <alignment horizontal="left" vertical="center" indent="2"/>
    </xf>
    <xf numFmtId="0" fontId="0" fillId="2" borderId="2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textRotation="90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2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indent="2"/>
    </xf>
    <xf numFmtId="0" fontId="0" fillId="0" borderId="12" xfId="0" applyFill="1" applyBorder="1" applyAlignment="1">
      <alignment horizontal="left" vertical="center" indent="2"/>
    </xf>
    <xf numFmtId="49" fontId="25" fillId="3" borderId="0" xfId="0" applyNumberFormat="1" applyFont="1" applyFill="1" applyAlignment="1">
      <alignment horizontal="left" vertical="center" indent="2"/>
    </xf>
    <xf numFmtId="0" fontId="26" fillId="0" borderId="0" xfId="0" applyFont="1" applyAlignment="1">
      <alignment horizontal="left" vertical="center" indent="2"/>
    </xf>
    <xf numFmtId="0" fontId="12" fillId="0" borderId="20" xfId="0" applyFont="1" applyBorder="1" applyAlignment="1">
      <alignment vertical="center" textRotation="90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12" fillId="0" borderId="20" xfId="0" applyFont="1" applyFill="1" applyBorder="1" applyAlignment="1">
      <alignment vertical="center" textRotation="90"/>
    </xf>
    <xf numFmtId="0" fontId="11" fillId="0" borderId="21" xfId="0" applyFont="1" applyFill="1" applyBorder="1" applyAlignment="1">
      <alignment vertical="center"/>
    </xf>
    <xf numFmtId="0" fontId="11" fillId="0" borderId="22" xfId="0" applyFont="1" applyFill="1" applyBorder="1" applyAlignment="1">
      <alignment vertical="center"/>
    </xf>
    <xf numFmtId="0" fontId="12" fillId="0" borderId="21" xfId="0" applyFont="1" applyBorder="1" applyAlignment="1">
      <alignment vertical="center" textRotation="90"/>
    </xf>
    <xf numFmtId="0" fontId="12" fillId="0" borderId="20" xfId="0" applyFont="1" applyBorder="1" applyAlignment="1">
      <alignment horizontal="center" vertical="center" textRotation="90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21" xfId="0" applyFill="1" applyBorder="1" applyAlignment="1">
      <alignment vertical="center"/>
    </xf>
    <xf numFmtId="0" fontId="0" fillId="0" borderId="22" xfId="0" applyFill="1" applyBorder="1" applyAlignment="1">
      <alignment vertical="center"/>
    </xf>
    <xf numFmtId="0" fontId="8" fillId="0" borderId="20" xfId="0" applyFont="1" applyBorder="1" applyAlignment="1">
      <alignment vertical="center" textRotation="90"/>
    </xf>
    <xf numFmtId="0" fontId="12" fillId="0" borderId="22" xfId="0" applyFont="1" applyBorder="1" applyAlignment="1">
      <alignment vertical="center" textRotation="90"/>
    </xf>
    <xf numFmtId="0" fontId="2" fillId="5" borderId="8" xfId="0" applyFont="1" applyFill="1" applyBorder="1" applyAlignment="1">
      <alignment horizontal="left" vertical="center" indent="1"/>
    </xf>
    <xf numFmtId="0" fontId="2" fillId="7" borderId="0" xfId="0" applyFont="1" applyFill="1" applyBorder="1" applyAlignment="1" applyProtection="1">
      <alignment horizontal="left" vertical="center"/>
      <protection locked="0"/>
    </xf>
    <xf numFmtId="49" fontId="3" fillId="7" borderId="0" xfId="0" applyNumberFormat="1" applyFont="1" applyFill="1" applyBorder="1" applyAlignment="1" applyProtection="1">
      <alignment horizontal="center" vertical="center"/>
      <protection locked="0"/>
    </xf>
    <xf numFmtId="164" fontId="2" fillId="7" borderId="0" xfId="0" applyNumberFormat="1" applyFont="1" applyFill="1" applyBorder="1" applyAlignment="1" applyProtection="1">
      <alignment horizontal="right" vertical="center" indent="1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ABE9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maly@muzeum.ji.cz" TargetMode="External"/><Relationship Id="rId2" Type="http://schemas.openxmlformats.org/officeDocument/2006/relationships/hyperlink" Target="mailto:tomas.bilek@tbiarch.eu" TargetMode="External"/><Relationship Id="rId1" Type="http://schemas.openxmlformats.org/officeDocument/2006/relationships/hyperlink" Target="mailto:tomas.bilek@tbiarch.eu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maly@muzeum.ji.cz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aly@muzeum.ji.cz" TargetMode="External"/><Relationship Id="rId2" Type="http://schemas.openxmlformats.org/officeDocument/2006/relationships/hyperlink" Target="mailto:tomas.bilek@tbiarch.eu" TargetMode="External"/><Relationship Id="rId1" Type="http://schemas.openxmlformats.org/officeDocument/2006/relationships/hyperlink" Target="mailto:tomas.bilek@tbiarch.eu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maly@muzeum.ji.cz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79"/>
  <sheetViews>
    <sheetView tabSelected="1" view="pageLayout" zoomScale="40" zoomScaleNormal="55" zoomScalePageLayoutView="40" workbookViewId="0">
      <selection activeCell="F15" sqref="F15"/>
    </sheetView>
  </sheetViews>
  <sheetFormatPr defaultColWidth="9.1796875" defaultRowHeight="14.5" x14ac:dyDescent="0.35"/>
  <cols>
    <col min="1" max="1" width="5" style="135" customWidth="1"/>
    <col min="2" max="2" width="5.7265625" style="138" customWidth="1"/>
    <col min="3" max="3" width="5.81640625" style="136" customWidth="1"/>
    <col min="4" max="4" width="7" style="136" customWidth="1"/>
    <col min="5" max="5" width="3.7265625" style="136" customWidth="1"/>
    <col min="6" max="6" width="53.6328125" style="136" customWidth="1"/>
    <col min="7" max="7" width="20.26953125" style="136" customWidth="1"/>
    <col min="8" max="8" width="55.7265625" style="135" customWidth="1"/>
    <col min="9" max="11" width="13.7265625" style="135" customWidth="1"/>
    <col min="12" max="13" width="23.7265625" style="135" customWidth="1"/>
    <col min="14" max="14" width="85.26953125" style="135" customWidth="1"/>
    <col min="15" max="15" width="50.453125" style="135" customWidth="1"/>
    <col min="16" max="16384" width="9.1796875" style="135"/>
  </cols>
  <sheetData>
    <row r="1" spans="1:14" ht="15" thickBot="1" x14ac:dyDescent="0.4"/>
    <row r="2" spans="1:14" ht="26.5" thickBot="1" x14ac:dyDescent="0.4">
      <c r="A2" s="422" t="s">
        <v>759</v>
      </c>
      <c r="B2" s="423"/>
      <c r="C2" s="423"/>
      <c r="D2" s="423"/>
      <c r="E2" s="423"/>
      <c r="F2" s="423"/>
      <c r="G2" s="423"/>
      <c r="H2" s="423"/>
      <c r="I2" s="423"/>
      <c r="J2" s="423"/>
      <c r="K2" s="423"/>
      <c r="L2" s="423"/>
      <c r="M2" s="423"/>
      <c r="N2" s="424"/>
    </row>
    <row r="4" spans="1:14" ht="19" thickBot="1" x14ac:dyDescent="0.4">
      <c r="A4" s="425" t="s">
        <v>419</v>
      </c>
      <c r="B4" s="426"/>
      <c r="C4" s="426"/>
      <c r="D4" s="426"/>
    </row>
    <row r="5" spans="1:14" ht="36" customHeight="1" x14ac:dyDescent="0.35">
      <c r="A5" s="427" t="s">
        <v>483</v>
      </c>
      <c r="B5" s="428"/>
      <c r="C5" s="428"/>
      <c r="D5" s="428"/>
      <c r="E5" s="334"/>
      <c r="F5" s="429" t="s">
        <v>672</v>
      </c>
      <c r="G5" s="430"/>
      <c r="H5" s="430"/>
      <c r="I5" s="431" t="s">
        <v>420</v>
      </c>
      <c r="J5" s="432"/>
      <c r="K5" s="433"/>
      <c r="L5" s="433"/>
      <c r="M5" s="183"/>
      <c r="N5" s="184"/>
    </row>
    <row r="6" spans="1:14" ht="18.5" x14ac:dyDescent="0.35">
      <c r="A6" s="335"/>
      <c r="B6" s="336"/>
      <c r="C6" s="308"/>
      <c r="D6" s="308"/>
      <c r="E6" s="250"/>
      <c r="F6" s="250"/>
      <c r="G6" s="250"/>
      <c r="H6" s="337"/>
      <c r="I6" s="179"/>
      <c r="J6" s="179"/>
      <c r="K6" s="179"/>
      <c r="L6" s="179"/>
      <c r="M6" s="179"/>
      <c r="N6" s="186"/>
    </row>
    <row r="7" spans="1:14" ht="18.5" x14ac:dyDescent="0.35">
      <c r="A7" s="413" t="s">
        <v>409</v>
      </c>
      <c r="B7" s="414"/>
      <c r="C7" s="414"/>
      <c r="D7" s="414"/>
      <c r="E7" s="250"/>
      <c r="F7" s="338" t="s">
        <v>764</v>
      </c>
      <c r="G7" s="250" t="s">
        <v>423</v>
      </c>
      <c r="H7" s="339" t="s">
        <v>657</v>
      </c>
      <c r="I7" s="415" t="s">
        <v>418</v>
      </c>
      <c r="J7" s="415"/>
      <c r="K7" s="416" t="s">
        <v>417</v>
      </c>
      <c r="L7" s="415"/>
      <c r="M7" s="179"/>
      <c r="N7" s="186"/>
    </row>
    <row r="8" spans="1:14" ht="18.5" x14ac:dyDescent="0.35">
      <c r="A8" s="325"/>
      <c r="B8" s="340"/>
      <c r="C8" s="340"/>
      <c r="D8" s="340"/>
      <c r="E8" s="250"/>
      <c r="F8" s="341"/>
      <c r="G8" s="342"/>
      <c r="H8" s="343"/>
      <c r="I8" s="91"/>
      <c r="J8" s="91"/>
      <c r="K8" s="192"/>
      <c r="L8" s="91"/>
      <c r="M8" s="180"/>
      <c r="N8" s="193"/>
    </row>
    <row r="9" spans="1:14" ht="19" thickBot="1" x14ac:dyDescent="0.4">
      <c r="A9" s="335"/>
      <c r="B9" s="336"/>
      <c r="C9" s="308"/>
      <c r="D9" s="308"/>
      <c r="E9" s="250"/>
      <c r="F9" s="344"/>
      <c r="G9" s="250"/>
      <c r="H9" s="339"/>
      <c r="I9" s="179"/>
      <c r="J9" s="179"/>
      <c r="K9" s="179"/>
      <c r="L9" s="179"/>
      <c r="M9" s="179"/>
      <c r="N9" s="186"/>
    </row>
    <row r="10" spans="1:14" ht="18.5" x14ac:dyDescent="0.35">
      <c r="A10" s="413" t="s">
        <v>481</v>
      </c>
      <c r="B10" s="414"/>
      <c r="C10" s="414"/>
      <c r="D10" s="414"/>
      <c r="E10" s="250"/>
      <c r="F10" s="338" t="s">
        <v>484</v>
      </c>
      <c r="G10" s="250" t="s">
        <v>423</v>
      </c>
      <c r="H10" s="339" t="s">
        <v>657</v>
      </c>
      <c r="I10" s="415" t="s">
        <v>418</v>
      </c>
      <c r="J10" s="415"/>
      <c r="K10" s="416" t="s">
        <v>417</v>
      </c>
      <c r="L10" s="415"/>
      <c r="M10" s="179"/>
      <c r="N10" s="417" t="s">
        <v>424</v>
      </c>
    </row>
    <row r="11" spans="1:14" ht="18.5" x14ac:dyDescent="0.35">
      <c r="A11" s="325"/>
      <c r="B11" s="340"/>
      <c r="C11" s="340"/>
      <c r="D11" s="340"/>
      <c r="E11" s="250"/>
      <c r="F11" s="345" t="s">
        <v>413</v>
      </c>
      <c r="G11" s="250"/>
      <c r="H11" s="339"/>
      <c r="I11" s="20"/>
      <c r="J11" s="20"/>
      <c r="K11" s="20"/>
      <c r="L11" s="20"/>
      <c r="M11" s="179"/>
      <c r="N11" s="418"/>
    </row>
    <row r="12" spans="1:14" ht="18.5" x14ac:dyDescent="0.35">
      <c r="A12" s="325"/>
      <c r="B12" s="340"/>
      <c r="C12" s="340"/>
      <c r="D12" s="340"/>
      <c r="E12" s="250"/>
      <c r="F12" s="388" t="s">
        <v>761</v>
      </c>
      <c r="G12" s="250"/>
      <c r="H12" s="339"/>
      <c r="I12" s="20"/>
      <c r="J12" s="20"/>
      <c r="K12" s="20"/>
      <c r="L12" s="20"/>
      <c r="M12" s="179"/>
      <c r="N12" s="418"/>
    </row>
    <row r="13" spans="1:14" ht="19" thickBot="1" x14ac:dyDescent="0.4">
      <c r="A13" s="325"/>
      <c r="B13" s="340"/>
      <c r="C13" s="340"/>
      <c r="D13" s="340"/>
      <c r="E13" s="250"/>
      <c r="F13" s="346"/>
      <c r="G13" s="342"/>
      <c r="H13" s="343"/>
      <c r="I13" s="180"/>
      <c r="J13" s="180"/>
      <c r="K13" s="180"/>
      <c r="L13" s="180"/>
      <c r="M13" s="180"/>
      <c r="N13" s="419"/>
    </row>
    <row r="14" spans="1:14" ht="19" thickBot="1" x14ac:dyDescent="0.4">
      <c r="A14" s="335"/>
      <c r="B14" s="336"/>
      <c r="C14" s="308"/>
      <c r="D14" s="308"/>
      <c r="E14" s="250"/>
      <c r="F14" s="344"/>
      <c r="G14" s="250"/>
      <c r="H14" s="339"/>
      <c r="I14" s="179"/>
      <c r="J14" s="179"/>
      <c r="K14" s="179"/>
      <c r="L14" s="179"/>
      <c r="M14" s="179"/>
      <c r="N14" s="187"/>
    </row>
    <row r="15" spans="1:14" ht="18.5" x14ac:dyDescent="0.35">
      <c r="A15" s="413" t="s">
        <v>410</v>
      </c>
      <c r="B15" s="414"/>
      <c r="C15" s="414"/>
      <c r="D15" s="414"/>
      <c r="E15" s="250"/>
      <c r="F15" s="485"/>
      <c r="G15" s="250" t="s">
        <v>423</v>
      </c>
      <c r="H15" s="485"/>
      <c r="I15" s="486"/>
      <c r="J15" s="486"/>
      <c r="K15" s="486"/>
      <c r="L15" s="486"/>
      <c r="M15" s="179"/>
      <c r="N15" s="391" t="s">
        <v>424</v>
      </c>
    </row>
    <row r="16" spans="1:14" ht="18.5" x14ac:dyDescent="0.35">
      <c r="A16" s="325"/>
      <c r="B16" s="340"/>
      <c r="C16" s="340"/>
      <c r="D16" s="340"/>
      <c r="E16" s="250"/>
      <c r="F16" s="485"/>
      <c r="G16" s="250"/>
      <c r="H16" s="339"/>
      <c r="I16" s="20"/>
      <c r="J16" s="20"/>
      <c r="K16" s="20"/>
      <c r="L16" s="20"/>
      <c r="M16" s="179"/>
      <c r="N16" s="389"/>
    </row>
    <row r="17" spans="1:14" ht="18.5" x14ac:dyDescent="0.35">
      <c r="A17" s="325"/>
      <c r="B17" s="340"/>
      <c r="C17" s="340"/>
      <c r="D17" s="340"/>
      <c r="E17" s="250"/>
      <c r="F17" s="387" t="s">
        <v>760</v>
      </c>
      <c r="G17" s="250"/>
      <c r="H17" s="339"/>
      <c r="I17" s="20"/>
      <c r="J17" s="20"/>
      <c r="K17" s="20"/>
      <c r="L17" s="20"/>
      <c r="M17" s="179"/>
      <c r="N17" s="389"/>
    </row>
    <row r="18" spans="1:14" ht="19" thickBot="1" x14ac:dyDescent="0.4">
      <c r="A18" s="325"/>
      <c r="B18" s="340"/>
      <c r="C18" s="340"/>
      <c r="D18" s="340"/>
      <c r="E18" s="250"/>
      <c r="F18" s="346"/>
      <c r="G18" s="342"/>
      <c r="H18" s="343"/>
      <c r="I18" s="180"/>
      <c r="J18" s="180"/>
      <c r="K18" s="180"/>
      <c r="L18" s="180"/>
      <c r="M18" s="180"/>
      <c r="N18" s="390"/>
    </row>
    <row r="19" spans="1:14" ht="19" thickBot="1" x14ac:dyDescent="0.4">
      <c r="A19" s="335"/>
      <c r="B19" s="336"/>
      <c r="C19" s="308"/>
      <c r="D19" s="308"/>
      <c r="E19" s="250"/>
      <c r="F19" s="344"/>
      <c r="G19" s="250"/>
      <c r="H19" s="339"/>
      <c r="I19" s="179"/>
      <c r="J19" s="179"/>
      <c r="K19" s="179"/>
      <c r="L19" s="179"/>
      <c r="M19" s="179"/>
      <c r="N19" s="187"/>
    </row>
    <row r="20" spans="1:14" ht="18.5" x14ac:dyDescent="0.35">
      <c r="A20" s="413" t="s">
        <v>411</v>
      </c>
      <c r="B20" s="414"/>
      <c r="C20" s="414"/>
      <c r="D20" s="414"/>
      <c r="E20" s="250"/>
      <c r="F20" s="338" t="s">
        <v>414</v>
      </c>
      <c r="G20" s="250" t="s">
        <v>423</v>
      </c>
      <c r="H20" s="339" t="s">
        <v>482</v>
      </c>
      <c r="I20" s="415" t="s">
        <v>415</v>
      </c>
      <c r="J20" s="415"/>
      <c r="K20" s="416" t="s">
        <v>416</v>
      </c>
      <c r="L20" s="415"/>
      <c r="M20" s="20" t="s">
        <v>421</v>
      </c>
      <c r="N20" s="417" t="s">
        <v>452</v>
      </c>
    </row>
    <row r="21" spans="1:14" ht="18.5" x14ac:dyDescent="0.35">
      <c r="A21" s="335"/>
      <c r="B21" s="336"/>
      <c r="C21" s="308"/>
      <c r="D21" s="308"/>
      <c r="E21" s="250"/>
      <c r="F21" s="345" t="s">
        <v>422</v>
      </c>
      <c r="G21" s="250"/>
      <c r="H21" s="339"/>
      <c r="I21" s="179"/>
      <c r="J21" s="179"/>
      <c r="K21" s="179"/>
      <c r="L21" s="179"/>
      <c r="M21" s="179"/>
      <c r="N21" s="418"/>
    </row>
    <row r="22" spans="1:14" ht="18.5" x14ac:dyDescent="0.35">
      <c r="A22" s="335"/>
      <c r="B22" s="336"/>
      <c r="C22" s="308"/>
      <c r="D22" s="308"/>
      <c r="E22" s="250"/>
      <c r="F22" s="392" t="s">
        <v>763</v>
      </c>
      <c r="G22" s="250"/>
      <c r="H22" s="339"/>
      <c r="I22" s="179"/>
      <c r="J22" s="179"/>
      <c r="K22" s="179"/>
      <c r="L22" s="179"/>
      <c r="M22" s="179"/>
      <c r="N22" s="418"/>
    </row>
    <row r="23" spans="1:14" ht="19" thickBot="1" x14ac:dyDescent="0.4">
      <c r="A23" s="335"/>
      <c r="B23" s="336"/>
      <c r="C23" s="308"/>
      <c r="D23" s="308"/>
      <c r="E23" s="250"/>
      <c r="F23" s="346"/>
      <c r="G23" s="342"/>
      <c r="H23" s="343"/>
      <c r="I23" s="180"/>
      <c r="J23" s="180"/>
      <c r="K23" s="180"/>
      <c r="L23" s="180"/>
      <c r="M23" s="180"/>
      <c r="N23" s="419"/>
    </row>
    <row r="24" spans="1:14" ht="19" thickBot="1" x14ac:dyDescent="0.4">
      <c r="A24" s="335"/>
      <c r="B24" s="336"/>
      <c r="C24" s="308"/>
      <c r="D24" s="308"/>
      <c r="E24" s="250"/>
      <c r="F24" s="347"/>
      <c r="G24" s="250"/>
      <c r="H24" s="339"/>
      <c r="I24" s="179"/>
      <c r="J24" s="179"/>
      <c r="K24" s="179"/>
      <c r="L24" s="179"/>
      <c r="M24" s="179"/>
      <c r="N24" s="187"/>
    </row>
    <row r="25" spans="1:14" ht="18.5" x14ac:dyDescent="0.35">
      <c r="A25" s="413" t="s">
        <v>412</v>
      </c>
      <c r="B25" s="414"/>
      <c r="C25" s="414"/>
      <c r="D25" s="414"/>
      <c r="E25" s="250"/>
      <c r="F25" s="338" t="s">
        <v>414</v>
      </c>
      <c r="G25" s="250" t="s">
        <v>423</v>
      </c>
      <c r="H25" s="339" t="s">
        <v>482</v>
      </c>
      <c r="I25" s="415" t="s">
        <v>415</v>
      </c>
      <c r="J25" s="415"/>
      <c r="K25" s="416" t="s">
        <v>416</v>
      </c>
      <c r="L25" s="415"/>
      <c r="M25" s="20" t="s">
        <v>421</v>
      </c>
      <c r="N25" s="417" t="s">
        <v>452</v>
      </c>
    </row>
    <row r="26" spans="1:14" ht="18.5" x14ac:dyDescent="0.35">
      <c r="A26" s="335"/>
      <c r="B26" s="336"/>
      <c r="C26" s="308"/>
      <c r="D26" s="308"/>
      <c r="E26" s="250"/>
      <c r="F26" s="345" t="s">
        <v>422</v>
      </c>
      <c r="G26" s="250"/>
      <c r="H26" s="337"/>
      <c r="I26" s="179"/>
      <c r="J26" s="179"/>
      <c r="K26" s="179"/>
      <c r="L26" s="179"/>
      <c r="M26" s="179"/>
      <c r="N26" s="418"/>
    </row>
    <row r="27" spans="1:14" ht="18.5" x14ac:dyDescent="0.35">
      <c r="A27" s="335"/>
      <c r="B27" s="336"/>
      <c r="C27" s="308"/>
      <c r="D27" s="308"/>
      <c r="E27" s="250"/>
      <c r="F27" s="392" t="s">
        <v>763</v>
      </c>
      <c r="G27" s="250"/>
      <c r="H27" s="337"/>
      <c r="I27" s="179"/>
      <c r="J27" s="179"/>
      <c r="K27" s="179"/>
      <c r="L27" s="179"/>
      <c r="M27" s="179"/>
      <c r="N27" s="418"/>
    </row>
    <row r="28" spans="1:14" ht="19" thickBot="1" x14ac:dyDescent="0.4">
      <c r="A28" s="335"/>
      <c r="B28" s="336"/>
      <c r="C28" s="308"/>
      <c r="D28" s="308"/>
      <c r="E28" s="250"/>
      <c r="F28" s="346"/>
      <c r="G28" s="342"/>
      <c r="H28" s="343"/>
      <c r="I28" s="180"/>
      <c r="J28" s="180"/>
      <c r="K28" s="180"/>
      <c r="L28" s="180"/>
      <c r="M28" s="180"/>
      <c r="N28" s="419"/>
    </row>
    <row r="29" spans="1:14" ht="19" thickBot="1" x14ac:dyDescent="0.4">
      <c r="A29" s="355"/>
      <c r="B29" s="356"/>
      <c r="C29" s="294"/>
      <c r="D29" s="294"/>
      <c r="E29" s="294"/>
      <c r="F29" s="294"/>
      <c r="G29" s="294"/>
      <c r="H29" s="357"/>
      <c r="I29" s="190"/>
      <c r="J29" s="190"/>
      <c r="K29" s="190"/>
      <c r="L29" s="190"/>
      <c r="M29" s="190"/>
      <c r="N29" s="191"/>
    </row>
    <row r="30" spans="1:14" s="139" customFormat="1" ht="20.25" customHeight="1" x14ac:dyDescent="0.35">
      <c r="A30" s="324"/>
      <c r="B30" s="324"/>
      <c r="C30" s="324"/>
      <c r="D30" s="324"/>
      <c r="E30" s="324"/>
      <c r="F30" s="324"/>
      <c r="G30" s="324"/>
      <c r="H30" s="324"/>
      <c r="I30" s="324"/>
      <c r="J30" s="324"/>
      <c r="K30" s="324"/>
      <c r="L30" s="198"/>
      <c r="M30" s="198"/>
      <c r="N30" s="206"/>
    </row>
    <row r="31" spans="1:14" s="139" customFormat="1" ht="20.25" customHeight="1" thickBot="1" x14ac:dyDescent="0.4">
      <c r="A31" s="196"/>
      <c r="B31" s="196"/>
      <c r="C31" s="196"/>
      <c r="D31" s="196"/>
      <c r="E31" s="196"/>
      <c r="F31" s="196"/>
      <c r="G31" s="196"/>
      <c r="H31" s="196"/>
      <c r="I31" s="196"/>
      <c r="J31" s="196"/>
      <c r="K31" s="324"/>
      <c r="L31" s="198"/>
      <c r="M31" s="198"/>
    </row>
    <row r="32" spans="1:14" ht="37.5" thickBot="1" x14ac:dyDescent="0.4">
      <c r="A32" s="400" t="s">
        <v>654</v>
      </c>
      <c r="B32" s="401"/>
      <c r="C32" s="401"/>
      <c r="D32" s="401"/>
      <c r="E32" s="401"/>
      <c r="F32" s="401"/>
      <c r="G32" s="401"/>
      <c r="H32" s="401"/>
      <c r="I32" s="401"/>
      <c r="J32" s="401"/>
      <c r="K32" s="402"/>
      <c r="L32" s="132" t="s">
        <v>7</v>
      </c>
      <c r="M32" s="132" t="s">
        <v>8</v>
      </c>
      <c r="N32" s="132" t="s">
        <v>3</v>
      </c>
    </row>
    <row r="33" spans="1:14" x14ac:dyDescent="0.35">
      <c r="A33" s="328"/>
      <c r="B33" s="249"/>
      <c r="C33" s="251"/>
      <c r="D33" s="251"/>
      <c r="E33" s="251"/>
      <c r="F33" s="251"/>
      <c r="G33" s="251"/>
      <c r="H33" s="229"/>
      <c r="I33" s="229"/>
      <c r="J33" s="229"/>
      <c r="K33" s="229"/>
      <c r="L33" s="229"/>
      <c r="M33" s="229"/>
      <c r="N33" s="327"/>
    </row>
    <row r="34" spans="1:14" ht="21" x14ac:dyDescent="0.35">
      <c r="A34" s="393" t="s">
        <v>639</v>
      </c>
      <c r="B34" s="394"/>
      <c r="C34" s="394"/>
      <c r="D34" s="394"/>
      <c r="E34" s="394"/>
      <c r="F34" s="394"/>
      <c r="G34" s="394"/>
      <c r="H34" s="394"/>
      <c r="I34" s="394"/>
      <c r="J34" s="394"/>
      <c r="K34" s="394"/>
      <c r="L34" s="358">
        <f>'00_SHRNUTÍ EXPOZIC'!L40</f>
        <v>0</v>
      </c>
      <c r="M34" s="358">
        <f>'00_SHRNUTÍ EXPOZIC'!M40</f>
        <v>0</v>
      </c>
      <c r="N34" s="327" t="s">
        <v>670</v>
      </c>
    </row>
    <row r="35" spans="1:14" ht="21" x14ac:dyDescent="0.35">
      <c r="A35" s="420" t="s">
        <v>741</v>
      </c>
      <c r="B35" s="421"/>
      <c r="C35" s="421"/>
      <c r="D35" s="421"/>
      <c r="E35" s="421"/>
      <c r="F35" s="421"/>
      <c r="G35" s="421"/>
      <c r="H35" s="421"/>
      <c r="I35" s="421"/>
      <c r="J35" s="421"/>
      <c r="K35" s="421"/>
      <c r="L35" s="383"/>
      <c r="M35" s="383"/>
      <c r="N35" s="384"/>
    </row>
    <row r="36" spans="1:14" ht="21" x14ac:dyDescent="0.35">
      <c r="A36" s="393" t="s">
        <v>640</v>
      </c>
      <c r="B36" s="394"/>
      <c r="C36" s="394"/>
      <c r="D36" s="394"/>
      <c r="E36" s="394"/>
      <c r="F36" s="394"/>
      <c r="G36" s="394"/>
      <c r="H36" s="394"/>
      <c r="I36" s="394"/>
      <c r="J36" s="394"/>
      <c r="K36" s="394"/>
      <c r="L36" s="358">
        <f>'00_SHRNUTÍ EXPOZIC'!L51</f>
        <v>0</v>
      </c>
      <c r="M36" s="358">
        <f>'00_SHRNUTÍ EXPOZIC'!M51</f>
        <v>0</v>
      </c>
      <c r="N36" s="222" t="s">
        <v>673</v>
      </c>
    </row>
    <row r="37" spans="1:14" ht="21" x14ac:dyDescent="0.35">
      <c r="A37" s="393" t="s">
        <v>641</v>
      </c>
      <c r="B37" s="394"/>
      <c r="C37" s="394"/>
      <c r="D37" s="394"/>
      <c r="E37" s="394"/>
      <c r="F37" s="394"/>
      <c r="G37" s="394"/>
      <c r="H37" s="394"/>
      <c r="I37" s="394"/>
      <c r="J37" s="394"/>
      <c r="K37" s="394"/>
      <c r="L37" s="358">
        <f>'00_SHRNUTÍ EXPOZIC'!L60</f>
        <v>0</v>
      </c>
      <c r="M37" s="358">
        <f>'00_SHRNUTÍ EXPOZIC'!M60</f>
        <v>0</v>
      </c>
      <c r="N37" s="327"/>
    </row>
    <row r="38" spans="1:14" ht="21" x14ac:dyDescent="0.35">
      <c r="A38" s="393" t="s">
        <v>642</v>
      </c>
      <c r="B38" s="394"/>
      <c r="C38" s="394"/>
      <c r="D38" s="394"/>
      <c r="E38" s="394"/>
      <c r="F38" s="394"/>
      <c r="G38" s="394"/>
      <c r="H38" s="394"/>
      <c r="I38" s="394"/>
      <c r="J38" s="394"/>
      <c r="K38" s="394"/>
      <c r="L38" s="358">
        <f>'00_SHRNUTÍ EXPOZIC'!L69</f>
        <v>0</v>
      </c>
      <c r="M38" s="358">
        <f>'00_SHRNUTÍ EXPOZIC'!M69</f>
        <v>0</v>
      </c>
      <c r="N38" s="327"/>
    </row>
    <row r="39" spans="1:14" ht="21" x14ac:dyDescent="0.35">
      <c r="A39" s="420" t="s">
        <v>740</v>
      </c>
      <c r="B39" s="421"/>
      <c r="C39" s="421"/>
      <c r="D39" s="421"/>
      <c r="E39" s="421"/>
      <c r="F39" s="421"/>
      <c r="G39" s="421"/>
      <c r="H39" s="421"/>
      <c r="I39" s="421"/>
      <c r="J39" s="421"/>
      <c r="K39" s="421"/>
      <c r="L39" s="385"/>
      <c r="M39" s="385"/>
      <c r="N39" s="386"/>
    </row>
    <row r="40" spans="1:14" ht="21" x14ac:dyDescent="0.35">
      <c r="A40" s="393" t="s">
        <v>643</v>
      </c>
      <c r="B40" s="394"/>
      <c r="C40" s="394"/>
      <c r="D40" s="394"/>
      <c r="E40" s="394"/>
      <c r="F40" s="394"/>
      <c r="G40" s="394"/>
      <c r="H40" s="394"/>
      <c r="I40" s="394"/>
      <c r="J40" s="394"/>
      <c r="K40" s="394"/>
      <c r="L40" s="358">
        <f>'00_SHRNUTÍ EXPOZIC'!L80</f>
        <v>0</v>
      </c>
      <c r="M40" s="358">
        <f>'00_SHRNUTÍ EXPOZIC'!M80</f>
        <v>0</v>
      </c>
      <c r="N40" s="327"/>
    </row>
    <row r="41" spans="1:14" ht="21" x14ac:dyDescent="0.35">
      <c r="A41" s="393" t="s">
        <v>644</v>
      </c>
      <c r="B41" s="394"/>
      <c r="C41" s="394"/>
      <c r="D41" s="394"/>
      <c r="E41" s="394"/>
      <c r="F41" s="394"/>
      <c r="G41" s="394"/>
      <c r="H41" s="394"/>
      <c r="I41" s="394"/>
      <c r="J41" s="394"/>
      <c r="K41" s="394"/>
      <c r="L41" s="358">
        <f>'00_SHRNUTÍ EXPOZIC'!L89</f>
        <v>0</v>
      </c>
      <c r="M41" s="358">
        <f>'00_SHRNUTÍ EXPOZIC'!M89</f>
        <v>0</v>
      </c>
      <c r="N41" s="327"/>
    </row>
    <row r="42" spans="1:14" ht="21" x14ac:dyDescent="0.35">
      <c r="A42" s="393" t="s">
        <v>645</v>
      </c>
      <c r="B42" s="394"/>
      <c r="C42" s="394"/>
      <c r="D42" s="394"/>
      <c r="E42" s="394"/>
      <c r="F42" s="394"/>
      <c r="G42" s="394"/>
      <c r="H42" s="394"/>
      <c r="I42" s="394"/>
      <c r="J42" s="394"/>
      <c r="K42" s="394"/>
      <c r="L42" s="358">
        <f>'00_SHRNUTÍ EXPOZIC'!L98</f>
        <v>0</v>
      </c>
      <c r="M42" s="358">
        <f>'00_SHRNUTÍ EXPOZIC'!M98</f>
        <v>0</v>
      </c>
      <c r="N42" s="327"/>
    </row>
    <row r="43" spans="1:14" ht="21" x14ac:dyDescent="0.35">
      <c r="A43" s="393" t="s">
        <v>646</v>
      </c>
      <c r="B43" s="394"/>
      <c r="C43" s="394"/>
      <c r="D43" s="394"/>
      <c r="E43" s="394"/>
      <c r="F43" s="394"/>
      <c r="G43" s="394"/>
      <c r="H43" s="394"/>
      <c r="I43" s="394"/>
      <c r="J43" s="394"/>
      <c r="K43" s="394"/>
      <c r="L43" s="358">
        <f>'00_SHRNUTÍ EXPOZIC'!L107</f>
        <v>0</v>
      </c>
      <c r="M43" s="358">
        <f>'00_SHRNUTÍ EXPOZIC'!M107</f>
        <v>0</v>
      </c>
      <c r="N43" s="327"/>
    </row>
    <row r="44" spans="1:14" ht="21" x14ac:dyDescent="0.35">
      <c r="A44" s="393" t="s">
        <v>647</v>
      </c>
      <c r="B44" s="394"/>
      <c r="C44" s="394"/>
      <c r="D44" s="394"/>
      <c r="E44" s="394"/>
      <c r="F44" s="394"/>
      <c r="G44" s="394"/>
      <c r="H44" s="394"/>
      <c r="I44" s="394"/>
      <c r="J44" s="394"/>
      <c r="K44" s="394"/>
      <c r="L44" s="358">
        <f>'00_SHRNUTÍ EXPOZIC'!L116</f>
        <v>0</v>
      </c>
      <c r="M44" s="358">
        <f>'00_SHRNUTÍ EXPOZIC'!M116</f>
        <v>0</v>
      </c>
      <c r="N44" s="327"/>
    </row>
    <row r="45" spans="1:14" ht="21" x14ac:dyDescent="0.35">
      <c r="A45" s="393" t="s">
        <v>648</v>
      </c>
      <c r="B45" s="394"/>
      <c r="C45" s="394"/>
      <c r="D45" s="394"/>
      <c r="E45" s="394"/>
      <c r="F45" s="394"/>
      <c r="G45" s="394"/>
      <c r="H45" s="394"/>
      <c r="I45" s="394"/>
      <c r="J45" s="394"/>
      <c r="K45" s="394"/>
      <c r="L45" s="358">
        <f>'00_SHRNUTÍ EXPOZIC'!L125</f>
        <v>0</v>
      </c>
      <c r="M45" s="358">
        <f>'00_SHRNUTÍ EXPOZIC'!M125</f>
        <v>0</v>
      </c>
      <c r="N45" s="327"/>
    </row>
    <row r="46" spans="1:14" ht="21" x14ac:dyDescent="0.35">
      <c r="A46" s="393" t="s">
        <v>649</v>
      </c>
      <c r="B46" s="394"/>
      <c r="C46" s="394"/>
      <c r="D46" s="394"/>
      <c r="E46" s="394"/>
      <c r="F46" s="394"/>
      <c r="G46" s="394"/>
      <c r="H46" s="394"/>
      <c r="I46" s="394"/>
      <c r="J46" s="394"/>
      <c r="K46" s="394"/>
      <c r="L46" s="358">
        <f>'00_SHRNUTÍ EXPOZIC'!L134</f>
        <v>0</v>
      </c>
      <c r="M46" s="358">
        <f>'00_SHRNUTÍ EXPOZIC'!M134</f>
        <v>0</v>
      </c>
      <c r="N46" s="327"/>
    </row>
    <row r="47" spans="1:14" ht="21" x14ac:dyDescent="0.35">
      <c r="A47" s="393" t="s">
        <v>650</v>
      </c>
      <c r="B47" s="394"/>
      <c r="C47" s="394"/>
      <c r="D47" s="394"/>
      <c r="E47" s="394"/>
      <c r="F47" s="394"/>
      <c r="G47" s="394"/>
      <c r="H47" s="394"/>
      <c r="I47" s="394"/>
      <c r="J47" s="394"/>
      <c r="K47" s="394"/>
      <c r="L47" s="358">
        <f>'00_SHRNUTÍ EXPOZIC'!L143</f>
        <v>0</v>
      </c>
      <c r="M47" s="358">
        <f>'00_SHRNUTÍ EXPOZIC'!M143</f>
        <v>0</v>
      </c>
      <c r="N47" s="327"/>
    </row>
    <row r="48" spans="1:14" ht="21" x14ac:dyDescent="0.35">
      <c r="A48" s="393" t="s">
        <v>651</v>
      </c>
      <c r="B48" s="394"/>
      <c r="C48" s="394"/>
      <c r="D48" s="394"/>
      <c r="E48" s="394"/>
      <c r="F48" s="394"/>
      <c r="G48" s="394"/>
      <c r="H48" s="394"/>
      <c r="I48" s="394"/>
      <c r="J48" s="394"/>
      <c r="K48" s="394"/>
      <c r="L48" s="358">
        <f>'00_SHRNUTÍ EXPOZIC'!L152</f>
        <v>0</v>
      </c>
      <c r="M48" s="358">
        <f>'00_SHRNUTÍ EXPOZIC'!M152</f>
        <v>0</v>
      </c>
      <c r="N48" s="327"/>
    </row>
    <row r="49" spans="1:14" ht="21" x14ac:dyDescent="0.35">
      <c r="A49" s="393" t="s">
        <v>652</v>
      </c>
      <c r="B49" s="394"/>
      <c r="C49" s="394"/>
      <c r="D49" s="394"/>
      <c r="E49" s="394"/>
      <c r="F49" s="394"/>
      <c r="G49" s="394"/>
      <c r="H49" s="394"/>
      <c r="I49" s="394"/>
      <c r="J49" s="394"/>
      <c r="K49" s="394"/>
      <c r="L49" s="358">
        <f>'00_SHRNUTÍ EXPOZIC'!L161</f>
        <v>0</v>
      </c>
      <c r="M49" s="358">
        <f>'00_SHRNUTÍ EXPOZIC'!M161</f>
        <v>0</v>
      </c>
      <c r="N49" s="327"/>
    </row>
    <row r="50" spans="1:14" ht="15" thickBot="1" x14ac:dyDescent="0.4">
      <c r="A50" s="328"/>
      <c r="B50" s="249"/>
      <c r="C50" s="251"/>
      <c r="D50" s="251"/>
      <c r="E50" s="251"/>
      <c r="F50" s="251"/>
      <c r="G50" s="251"/>
      <c r="H50" s="229"/>
      <c r="I50" s="229"/>
      <c r="J50" s="229"/>
      <c r="K50" s="229"/>
      <c r="L50" s="229"/>
      <c r="M50" s="229"/>
      <c r="N50" s="327"/>
    </row>
    <row r="51" spans="1:14" s="194" customFormat="1" ht="23.5" x14ac:dyDescent="0.35">
      <c r="A51" s="403"/>
      <c r="B51" s="404"/>
      <c r="C51" s="404"/>
      <c r="D51" s="404"/>
      <c r="E51" s="404"/>
      <c r="F51" s="404"/>
      <c r="G51" s="404"/>
      <c r="H51" s="404"/>
      <c r="I51" s="404"/>
      <c r="J51" s="404"/>
      <c r="K51" s="404"/>
      <c r="L51" s="359">
        <f>SUM(L34:L50)</f>
        <v>0</v>
      </c>
      <c r="M51" s="359">
        <f>SUM(M34:M50)</f>
        <v>0</v>
      </c>
      <c r="N51" s="360"/>
    </row>
    <row r="52" spans="1:14" s="194" customFormat="1" ht="9" customHeight="1" thickBot="1" x14ac:dyDescent="0.4">
      <c r="A52" s="361"/>
      <c r="B52" s="362"/>
      <c r="C52" s="363"/>
      <c r="D52" s="363"/>
      <c r="E52" s="363"/>
      <c r="F52" s="363"/>
      <c r="G52" s="363"/>
      <c r="H52" s="364"/>
      <c r="I52" s="364"/>
      <c r="J52" s="364"/>
      <c r="K52" s="364"/>
      <c r="L52" s="364"/>
      <c r="M52" s="364"/>
      <c r="N52" s="360"/>
    </row>
    <row r="53" spans="1:14" s="194" customFormat="1" ht="30" customHeight="1" thickTop="1" thickBot="1" x14ac:dyDescent="0.4">
      <c r="A53" s="403" t="s">
        <v>653</v>
      </c>
      <c r="B53" s="404"/>
      <c r="C53" s="404"/>
      <c r="D53" s="404"/>
      <c r="E53" s="404"/>
      <c r="F53" s="404"/>
      <c r="G53" s="404"/>
      <c r="H53" s="404"/>
      <c r="I53" s="404"/>
      <c r="J53" s="404"/>
      <c r="K53" s="405"/>
      <c r="L53" s="406">
        <f>L51+M51</f>
        <v>0</v>
      </c>
      <c r="M53" s="407"/>
      <c r="N53" s="360"/>
    </row>
    <row r="54" spans="1:14" s="139" customFormat="1" ht="20.25" customHeight="1" thickTop="1" thickBot="1" x14ac:dyDescent="0.4">
      <c r="A54" s="365"/>
      <c r="B54" s="366"/>
      <c r="C54" s="366"/>
      <c r="D54" s="366"/>
      <c r="E54" s="366"/>
      <c r="F54" s="366"/>
      <c r="G54" s="366"/>
      <c r="H54" s="366"/>
      <c r="I54" s="366"/>
      <c r="J54" s="366"/>
      <c r="K54" s="366"/>
      <c r="L54" s="367"/>
      <c r="M54" s="367"/>
      <c r="N54" s="368"/>
    </row>
    <row r="55" spans="1:14" s="139" customFormat="1" ht="20.25" customHeight="1" x14ac:dyDescent="0.35">
      <c r="A55" s="205"/>
      <c r="B55" s="205"/>
      <c r="C55" s="205"/>
      <c r="D55" s="205"/>
      <c r="E55" s="205"/>
      <c r="F55" s="205"/>
      <c r="G55" s="205"/>
      <c r="H55" s="205"/>
      <c r="I55" s="205"/>
      <c r="J55" s="205"/>
      <c r="K55" s="205"/>
      <c r="L55" s="198"/>
      <c r="M55" s="198"/>
      <c r="N55" s="206"/>
    </row>
    <row r="56" spans="1:14" s="139" customFormat="1" ht="20.25" customHeight="1" thickBot="1" x14ac:dyDescent="0.4">
      <c r="A56" s="196"/>
      <c r="B56" s="196"/>
      <c r="C56" s="196"/>
      <c r="D56" s="196"/>
      <c r="E56" s="196"/>
      <c r="F56" s="196"/>
      <c r="G56" s="196"/>
      <c r="H56" s="196"/>
      <c r="I56" s="196"/>
      <c r="J56" s="196"/>
      <c r="K56" s="197"/>
      <c r="L56" s="198"/>
      <c r="M56" s="198"/>
    </row>
    <row r="57" spans="1:14" ht="37.5" thickBot="1" x14ac:dyDescent="0.4">
      <c r="A57" s="400" t="s">
        <v>425</v>
      </c>
      <c r="B57" s="401"/>
      <c r="C57" s="401"/>
      <c r="D57" s="401"/>
      <c r="E57" s="401"/>
      <c r="F57" s="401"/>
      <c r="G57" s="401"/>
      <c r="H57" s="401"/>
      <c r="I57" s="401"/>
      <c r="J57" s="401"/>
      <c r="K57" s="402"/>
      <c r="L57" s="132" t="s">
        <v>7</v>
      </c>
      <c r="M57" s="132" t="s">
        <v>8</v>
      </c>
      <c r="N57" s="132" t="s">
        <v>3</v>
      </c>
    </row>
    <row r="58" spans="1:14" x14ac:dyDescent="0.35">
      <c r="A58" s="328"/>
      <c r="B58" s="249"/>
      <c r="C58" s="251"/>
      <c r="D58" s="251"/>
      <c r="E58" s="251"/>
      <c r="F58" s="251"/>
      <c r="G58" s="251"/>
      <c r="H58" s="229"/>
      <c r="I58" s="229"/>
      <c r="J58" s="229"/>
      <c r="K58" s="229"/>
      <c r="L58" s="229"/>
      <c r="M58" s="229"/>
      <c r="N58" s="348"/>
    </row>
    <row r="59" spans="1:14" ht="21" x14ac:dyDescent="0.35">
      <c r="A59" s="393" t="s">
        <v>739</v>
      </c>
      <c r="B59" s="394"/>
      <c r="C59" s="394"/>
      <c r="D59" s="394"/>
      <c r="E59" s="394"/>
      <c r="F59" s="394"/>
      <c r="G59" s="394"/>
      <c r="H59" s="394"/>
      <c r="I59" s="394"/>
      <c r="J59" s="394"/>
      <c r="K59" s="394"/>
      <c r="L59" s="358">
        <f>'00_SHRNUTÍ EXPOZIC'!$L$166</f>
        <v>0</v>
      </c>
      <c r="M59" s="358">
        <f>'00_SHRNUTÍ EXPOZIC'!$M$166</f>
        <v>0</v>
      </c>
      <c r="N59" s="348"/>
    </row>
    <row r="60" spans="1:14" ht="21" x14ac:dyDescent="0.35">
      <c r="A60" s="393" t="s">
        <v>426</v>
      </c>
      <c r="B60" s="394"/>
      <c r="C60" s="394"/>
      <c r="D60" s="394"/>
      <c r="E60" s="394"/>
      <c r="F60" s="394"/>
      <c r="G60" s="394"/>
      <c r="H60" s="394"/>
      <c r="I60" s="394"/>
      <c r="J60" s="394"/>
      <c r="K60" s="394"/>
      <c r="L60" s="358">
        <f>'00_SHRNUTÍ EXPOZIC'!$L$168</f>
        <v>0</v>
      </c>
      <c r="M60" s="358">
        <f>'00_SHRNUTÍ EXPOZIC'!$M$168</f>
        <v>0</v>
      </c>
      <c r="N60" s="369"/>
    </row>
    <row r="61" spans="1:14" ht="21" x14ac:dyDescent="0.35">
      <c r="A61" s="393" t="s">
        <v>433</v>
      </c>
      <c r="B61" s="394"/>
      <c r="C61" s="394"/>
      <c r="D61" s="394"/>
      <c r="E61" s="394"/>
      <c r="F61" s="394"/>
      <c r="G61" s="394"/>
      <c r="H61" s="394"/>
      <c r="I61" s="394"/>
      <c r="J61" s="394"/>
      <c r="K61" s="394"/>
      <c r="L61" s="358">
        <f>'00_SHRNUTÍ EXPOZIC'!$L$169</f>
        <v>0</v>
      </c>
      <c r="M61" s="358">
        <f>'00_SHRNUTÍ EXPOZIC'!$M$169</f>
        <v>0</v>
      </c>
      <c r="N61" s="327"/>
    </row>
    <row r="62" spans="1:14" ht="15" thickBot="1" x14ac:dyDescent="0.4">
      <c r="A62" s="328"/>
      <c r="B62" s="249"/>
      <c r="C62" s="251"/>
      <c r="D62" s="251"/>
      <c r="E62" s="251"/>
      <c r="F62" s="251"/>
      <c r="G62" s="251"/>
      <c r="H62" s="229"/>
      <c r="I62" s="229"/>
      <c r="J62" s="229"/>
      <c r="K62" s="229"/>
      <c r="L62" s="229"/>
      <c r="M62" s="229"/>
      <c r="N62" s="327"/>
    </row>
    <row r="63" spans="1:14" s="194" customFormat="1" ht="23.5" x14ac:dyDescent="0.35">
      <c r="A63" s="403"/>
      <c r="B63" s="404"/>
      <c r="C63" s="404"/>
      <c r="D63" s="404"/>
      <c r="E63" s="404"/>
      <c r="F63" s="404"/>
      <c r="G63" s="404"/>
      <c r="H63" s="404"/>
      <c r="I63" s="404"/>
      <c r="J63" s="404"/>
      <c r="K63" s="404"/>
      <c r="L63" s="359">
        <f>SUM(L59:L61)</f>
        <v>0</v>
      </c>
      <c r="M63" s="359">
        <f>SUM(M59:M61)</f>
        <v>0</v>
      </c>
      <c r="N63" s="370"/>
    </row>
    <row r="64" spans="1:14" s="194" customFormat="1" ht="9" customHeight="1" thickBot="1" x14ac:dyDescent="0.4">
      <c r="A64" s="361"/>
      <c r="B64" s="362"/>
      <c r="C64" s="363"/>
      <c r="D64" s="363"/>
      <c r="E64" s="363"/>
      <c r="F64" s="363"/>
      <c r="G64" s="363"/>
      <c r="H64" s="364"/>
      <c r="I64" s="364"/>
      <c r="J64" s="364"/>
      <c r="K64" s="364"/>
      <c r="L64" s="364"/>
      <c r="M64" s="364"/>
      <c r="N64" s="370"/>
    </row>
    <row r="65" spans="1:14" s="194" customFormat="1" ht="30" customHeight="1" thickTop="1" thickBot="1" x14ac:dyDescent="0.4">
      <c r="A65" s="403" t="s">
        <v>655</v>
      </c>
      <c r="B65" s="404"/>
      <c r="C65" s="404"/>
      <c r="D65" s="404"/>
      <c r="E65" s="404"/>
      <c r="F65" s="404"/>
      <c r="G65" s="404"/>
      <c r="H65" s="404"/>
      <c r="I65" s="404"/>
      <c r="J65" s="404"/>
      <c r="K65" s="405"/>
      <c r="L65" s="406">
        <f>L63+M63</f>
        <v>0</v>
      </c>
      <c r="M65" s="407"/>
      <c r="N65" s="370"/>
    </row>
    <row r="66" spans="1:14" ht="20.25" customHeight="1" thickTop="1" thickBot="1" x14ac:dyDescent="0.4">
      <c r="A66" s="371"/>
      <c r="B66" s="326"/>
      <c r="C66" s="326"/>
      <c r="D66" s="326"/>
      <c r="E66" s="326"/>
      <c r="F66" s="326"/>
      <c r="G66" s="326"/>
      <c r="H66" s="326"/>
      <c r="I66" s="326"/>
      <c r="J66" s="326"/>
      <c r="K66" s="326"/>
      <c r="L66" s="372"/>
      <c r="M66" s="372"/>
      <c r="N66" s="352"/>
    </row>
    <row r="67" spans="1:14" ht="20.25" customHeight="1" x14ac:dyDescent="0.35">
      <c r="A67" s="199"/>
      <c r="B67" s="172"/>
      <c r="C67" s="172"/>
      <c r="D67" s="172"/>
      <c r="E67" s="172"/>
      <c r="F67" s="172"/>
      <c r="G67" s="172"/>
      <c r="H67" s="172"/>
      <c r="I67" s="172"/>
      <c r="J67" s="172"/>
      <c r="K67" s="172"/>
      <c r="L67" s="133"/>
      <c r="M67" s="133"/>
      <c r="N67" s="141"/>
    </row>
    <row r="68" spans="1:14" ht="20.25" customHeight="1" thickBot="1" x14ac:dyDescent="0.4">
      <c r="A68" s="199"/>
      <c r="B68" s="172"/>
      <c r="C68" s="172"/>
      <c r="D68" s="172"/>
      <c r="E68" s="172"/>
      <c r="F68" s="172"/>
      <c r="G68" s="172"/>
      <c r="H68" s="172"/>
      <c r="I68" s="172"/>
      <c r="J68" s="172"/>
      <c r="K68" s="172"/>
      <c r="L68" s="133"/>
      <c r="M68" s="133"/>
      <c r="N68" s="141"/>
    </row>
    <row r="69" spans="1:14" ht="21.5" thickBot="1" x14ac:dyDescent="0.4">
      <c r="A69" s="373"/>
      <c r="B69" s="374"/>
      <c r="C69" s="374"/>
      <c r="D69" s="374"/>
      <c r="E69" s="374"/>
      <c r="F69" s="374"/>
      <c r="G69" s="374"/>
      <c r="H69" s="374"/>
      <c r="I69" s="374"/>
      <c r="J69" s="374"/>
      <c r="K69" s="374"/>
      <c r="L69" s="375"/>
      <c r="M69" s="375"/>
      <c r="N69" s="376"/>
    </row>
    <row r="70" spans="1:14" s="139" customFormat="1" ht="34.5" customHeight="1" thickTop="1" thickBot="1" x14ac:dyDescent="0.4">
      <c r="A70" s="395" t="s">
        <v>459</v>
      </c>
      <c r="B70" s="396"/>
      <c r="C70" s="396"/>
      <c r="D70" s="396"/>
      <c r="E70" s="396"/>
      <c r="F70" s="396"/>
      <c r="G70" s="396"/>
      <c r="H70" s="396"/>
      <c r="I70" s="396"/>
      <c r="J70" s="396"/>
      <c r="K70" s="397"/>
      <c r="L70" s="408">
        <f>L65+L53</f>
        <v>0</v>
      </c>
      <c r="M70" s="409"/>
      <c r="N70" s="377"/>
    </row>
    <row r="71" spans="1:14" s="139" customFormat="1" ht="11.5" customHeight="1" thickTop="1" x14ac:dyDescent="0.35">
      <c r="A71" s="378"/>
      <c r="B71" s="379"/>
      <c r="C71" s="380"/>
      <c r="D71" s="380"/>
      <c r="E71" s="380"/>
      <c r="F71" s="380"/>
      <c r="G71" s="380"/>
      <c r="H71" s="381"/>
      <c r="I71" s="381"/>
      <c r="J71" s="381"/>
      <c r="K71" s="381"/>
      <c r="L71" s="381"/>
      <c r="M71" s="381"/>
      <c r="N71" s="377"/>
    </row>
    <row r="72" spans="1:14" s="195" customFormat="1" ht="34.5" customHeight="1" x14ac:dyDescent="0.35">
      <c r="A72" s="410" t="s">
        <v>379</v>
      </c>
      <c r="B72" s="411"/>
      <c r="C72" s="411"/>
      <c r="D72" s="411"/>
      <c r="E72" s="411"/>
      <c r="F72" s="411"/>
      <c r="G72" s="411"/>
      <c r="H72" s="411"/>
      <c r="I72" s="411"/>
      <c r="J72" s="411"/>
      <c r="K72" s="411"/>
      <c r="L72" s="412">
        <f>L70*0.21</f>
        <v>0</v>
      </c>
      <c r="M72" s="412"/>
      <c r="N72" s="382"/>
    </row>
    <row r="73" spans="1:14" s="139" customFormat="1" ht="12" customHeight="1" thickBot="1" x14ac:dyDescent="0.4">
      <c r="A73" s="378"/>
      <c r="B73" s="379"/>
      <c r="C73" s="380"/>
      <c r="D73" s="380"/>
      <c r="E73" s="380"/>
      <c r="F73" s="380"/>
      <c r="G73" s="380"/>
      <c r="H73" s="381"/>
      <c r="I73" s="381"/>
      <c r="J73" s="381"/>
      <c r="K73" s="381"/>
      <c r="L73" s="381"/>
      <c r="M73" s="381"/>
      <c r="N73" s="377"/>
    </row>
    <row r="74" spans="1:14" s="139" customFormat="1" ht="34.5" customHeight="1" thickTop="1" thickBot="1" x14ac:dyDescent="0.4">
      <c r="A74" s="395" t="s">
        <v>656</v>
      </c>
      <c r="B74" s="396"/>
      <c r="C74" s="396"/>
      <c r="D74" s="396"/>
      <c r="E74" s="396"/>
      <c r="F74" s="396"/>
      <c r="G74" s="396"/>
      <c r="H74" s="396"/>
      <c r="I74" s="396"/>
      <c r="J74" s="396"/>
      <c r="K74" s="397"/>
      <c r="L74" s="398">
        <f>L72+L70</f>
        <v>0</v>
      </c>
      <c r="M74" s="399"/>
      <c r="N74" s="200"/>
    </row>
    <row r="75" spans="1:14" ht="20.25" customHeight="1" thickTop="1" thickBot="1" x14ac:dyDescent="0.4">
      <c r="A75" s="329"/>
      <c r="B75" s="293"/>
      <c r="C75" s="295"/>
      <c r="D75" s="295"/>
      <c r="E75" s="295"/>
      <c r="F75" s="295"/>
      <c r="G75" s="295"/>
      <c r="H75" s="351"/>
      <c r="I75" s="351"/>
      <c r="J75" s="351"/>
      <c r="K75" s="351"/>
      <c r="L75" s="351"/>
      <c r="M75" s="351"/>
      <c r="N75" s="352"/>
    </row>
    <row r="79" spans="1:14" x14ac:dyDescent="0.35">
      <c r="N79" s="135" t="s">
        <v>449</v>
      </c>
    </row>
  </sheetData>
  <sheetProtection sheet="1" objects="1" scenarios="1"/>
  <mergeCells count="57">
    <mergeCell ref="A2:N2"/>
    <mergeCell ref="A4:D4"/>
    <mergeCell ref="A5:D5"/>
    <mergeCell ref="F5:H5"/>
    <mergeCell ref="I5:J5"/>
    <mergeCell ref="K5:L5"/>
    <mergeCell ref="A20:D20"/>
    <mergeCell ref="I20:J20"/>
    <mergeCell ref="K20:L20"/>
    <mergeCell ref="N20:N23"/>
    <mergeCell ref="A7:D7"/>
    <mergeCell ref="I7:J7"/>
    <mergeCell ref="K7:L7"/>
    <mergeCell ref="A10:D10"/>
    <mergeCell ref="I10:J10"/>
    <mergeCell ref="K10:L10"/>
    <mergeCell ref="N10:N13"/>
    <mergeCell ref="A15:D15"/>
    <mergeCell ref="I15:J15"/>
    <mergeCell ref="K15:L15"/>
    <mergeCell ref="A51:K51"/>
    <mergeCell ref="A25:D25"/>
    <mergeCell ref="I25:J25"/>
    <mergeCell ref="K25:L25"/>
    <mergeCell ref="N25:N28"/>
    <mergeCell ref="A44:K44"/>
    <mergeCell ref="A32:K32"/>
    <mergeCell ref="A34:K34"/>
    <mergeCell ref="A35:K35"/>
    <mergeCell ref="A36:K36"/>
    <mergeCell ref="A37:K37"/>
    <mergeCell ref="A38:K38"/>
    <mergeCell ref="A39:K39"/>
    <mergeCell ref="A40:K40"/>
    <mergeCell ref="A41:K41"/>
    <mergeCell ref="A42:K42"/>
    <mergeCell ref="A43:K43"/>
    <mergeCell ref="A45:K45"/>
    <mergeCell ref="A46:K46"/>
    <mergeCell ref="A47:K47"/>
    <mergeCell ref="A48:K48"/>
    <mergeCell ref="A61:K61"/>
    <mergeCell ref="A49:K49"/>
    <mergeCell ref="A74:K74"/>
    <mergeCell ref="L74:M74"/>
    <mergeCell ref="A57:K57"/>
    <mergeCell ref="A59:K59"/>
    <mergeCell ref="A63:K63"/>
    <mergeCell ref="A70:K70"/>
    <mergeCell ref="A65:K65"/>
    <mergeCell ref="L65:M65"/>
    <mergeCell ref="L70:M70"/>
    <mergeCell ref="L53:M53"/>
    <mergeCell ref="A72:K72"/>
    <mergeCell ref="L72:M72"/>
    <mergeCell ref="A53:K53"/>
    <mergeCell ref="A60:K60"/>
  </mergeCells>
  <hyperlinks>
    <hyperlink ref="K20" r:id="rId1"/>
    <hyperlink ref="K25" r:id="rId2"/>
    <hyperlink ref="K7" r:id="rId3"/>
    <hyperlink ref="K10" r:id="rId4"/>
  </hyperlinks>
  <pageMargins left="0.23622047244094491" right="0.23622047244094491" top="0.34" bottom="0.27559055118110237" header="0.11811023622047245" footer="0.11811023622047245"/>
  <pageSetup paperSize="9" scale="43" fitToHeight="0" orientation="landscape" r:id="rId5"/>
  <headerFooter>
    <oddHeader>&amp;LVeřejná zakázka &amp;"-,Tučné"Expozice Muzea Vysočiny Jihlava&amp;"-,Obyčejné"
Příloha č. 1 Zadávací dokumentace / smlouvy – &amp;"-,Tučné"Soupis dodávek a prací / Rozpočet</oddHeader>
    <oddFooter>&amp;C&amp;P/43</oddFooter>
  </headerFooter>
  <rowBreaks count="1" manualBreakCount="1">
    <brk id="55" max="16383" man="1"/>
  </rowBreaks>
  <ignoredErrors>
    <ignoredError sqref="I7 I10 I20 I25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N299"/>
  <sheetViews>
    <sheetView view="pageLayout" zoomScale="40" zoomScaleNormal="70" zoomScalePageLayoutView="40" workbookViewId="0">
      <selection activeCell="K17" sqref="K17"/>
    </sheetView>
  </sheetViews>
  <sheetFormatPr defaultColWidth="9.1796875" defaultRowHeight="14.5" x14ac:dyDescent="0.35"/>
  <cols>
    <col min="1" max="1" width="5" style="63" customWidth="1"/>
    <col min="2" max="2" width="5.7265625" style="54" customWidth="1"/>
    <col min="3" max="3" width="5.81640625" style="6" customWidth="1"/>
    <col min="4" max="4" width="7" style="6" customWidth="1"/>
    <col min="5" max="5" width="3.7265625" style="6" customWidth="1"/>
    <col min="6" max="6" width="50.7265625" style="6" customWidth="1"/>
    <col min="7" max="7" width="20.26953125" style="6" customWidth="1"/>
    <col min="8" max="8" width="55.7265625" style="63" customWidth="1"/>
    <col min="9" max="11" width="13.7265625" style="63" customWidth="1"/>
    <col min="12" max="13" width="25.7265625" style="63" customWidth="1"/>
    <col min="14" max="14" width="85.7265625" style="63" customWidth="1"/>
    <col min="15" max="15" width="13.7265625" style="63" customWidth="1"/>
    <col min="16" max="16384" width="9.1796875" style="63"/>
  </cols>
  <sheetData>
    <row r="2" spans="1:14" s="151" customFormat="1" ht="35.15" customHeight="1" x14ac:dyDescent="0.35">
      <c r="A2" s="467" t="s">
        <v>752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</row>
    <row r="3" spans="1:14" s="151" customFormat="1" ht="10" customHeight="1" thickBot="1" x14ac:dyDescent="0.4">
      <c r="A3" s="264"/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156"/>
      <c r="M3" s="156"/>
      <c r="N3" s="156"/>
    </row>
    <row r="4" spans="1:14" ht="26.5" thickBot="1" x14ac:dyDescent="0.4">
      <c r="A4" s="245"/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153" t="s">
        <v>7</v>
      </c>
      <c r="M4" s="153" t="s">
        <v>8</v>
      </c>
      <c r="N4" s="152"/>
    </row>
    <row r="5" spans="1:14" ht="18.5" x14ac:dyDescent="0.35">
      <c r="A5" s="457" t="s">
        <v>55</v>
      </c>
      <c r="B5" s="458"/>
      <c r="C5" s="458"/>
      <c r="D5" s="458"/>
      <c r="E5" s="458"/>
      <c r="F5" s="458"/>
      <c r="G5" s="458"/>
      <c r="H5" s="244"/>
      <c r="I5" s="244"/>
      <c r="J5" s="244"/>
      <c r="K5" s="244"/>
      <c r="L5" s="154">
        <f>L21</f>
        <v>0</v>
      </c>
      <c r="M5" s="154">
        <f>M21</f>
        <v>0</v>
      </c>
      <c r="N5" s="152"/>
    </row>
    <row r="6" spans="1:14" ht="18.5" x14ac:dyDescent="0.35">
      <c r="A6" s="457" t="s">
        <v>37</v>
      </c>
      <c r="B6" s="458"/>
      <c r="C6" s="458"/>
      <c r="D6" s="458"/>
      <c r="E6" s="458"/>
      <c r="F6" s="458"/>
      <c r="G6" s="458"/>
      <c r="H6" s="244"/>
      <c r="I6" s="244"/>
      <c r="J6" s="244"/>
      <c r="K6" s="244"/>
      <c r="L6" s="154">
        <f>L64</f>
        <v>0</v>
      </c>
      <c r="M6" s="154">
        <f>M64</f>
        <v>0</v>
      </c>
      <c r="N6" s="152"/>
    </row>
    <row r="7" spans="1:14" ht="18.5" x14ac:dyDescent="0.35">
      <c r="A7" s="457" t="s">
        <v>43</v>
      </c>
      <c r="B7" s="458"/>
      <c r="C7" s="458"/>
      <c r="D7" s="458"/>
      <c r="E7" s="458"/>
      <c r="F7" s="458"/>
      <c r="G7" s="458"/>
      <c r="H7" s="244"/>
      <c r="I7" s="244"/>
      <c r="J7" s="244"/>
      <c r="K7" s="244"/>
      <c r="L7" s="154">
        <f>L75</f>
        <v>0</v>
      </c>
      <c r="M7" s="154">
        <f>M75</f>
        <v>0</v>
      </c>
      <c r="N7" s="152"/>
    </row>
    <row r="8" spans="1:14" ht="18.5" x14ac:dyDescent="0.35">
      <c r="A8" s="457" t="s">
        <v>45</v>
      </c>
      <c r="B8" s="458"/>
      <c r="C8" s="458"/>
      <c r="D8" s="458"/>
      <c r="E8" s="458"/>
      <c r="F8" s="458"/>
      <c r="G8" s="458"/>
      <c r="H8" s="244"/>
      <c r="I8" s="244"/>
      <c r="J8" s="244"/>
      <c r="K8" s="244"/>
      <c r="L8" s="154">
        <f>L90</f>
        <v>0</v>
      </c>
      <c r="M8" s="154">
        <f>M90</f>
        <v>0</v>
      </c>
      <c r="N8" s="152"/>
    </row>
    <row r="9" spans="1:14" ht="18.5" x14ac:dyDescent="0.35">
      <c r="A9" s="457" t="s">
        <v>56</v>
      </c>
      <c r="B9" s="458"/>
      <c r="C9" s="458"/>
      <c r="D9" s="458"/>
      <c r="E9" s="458"/>
      <c r="F9" s="458"/>
      <c r="G9" s="458"/>
      <c r="H9" s="244"/>
      <c r="I9" s="244"/>
      <c r="J9" s="244"/>
      <c r="K9" s="244"/>
      <c r="L9" s="154">
        <f>L119</f>
        <v>0</v>
      </c>
      <c r="M9" s="154">
        <f>M119</f>
        <v>0</v>
      </c>
      <c r="N9" s="152"/>
    </row>
    <row r="10" spans="1:14" ht="19" thickBot="1" x14ac:dyDescent="0.4">
      <c r="A10" s="457" t="s">
        <v>57</v>
      </c>
      <c r="B10" s="458"/>
      <c r="C10" s="458"/>
      <c r="D10" s="458"/>
      <c r="E10" s="458"/>
      <c r="F10" s="458"/>
      <c r="G10" s="458"/>
      <c r="H10" s="244"/>
      <c r="I10" s="244"/>
      <c r="J10" s="244"/>
      <c r="K10" s="244"/>
      <c r="L10" s="154">
        <f>L142</f>
        <v>0</v>
      </c>
      <c r="M10" s="154">
        <f>M142</f>
        <v>0</v>
      </c>
      <c r="N10" s="152"/>
    </row>
    <row r="11" spans="1:14" ht="26.5" thickBot="1" x14ac:dyDescent="0.4">
      <c r="A11" s="465" t="s">
        <v>466</v>
      </c>
      <c r="B11" s="458"/>
      <c r="C11" s="458"/>
      <c r="D11" s="458"/>
      <c r="E11" s="458"/>
      <c r="F11" s="458"/>
      <c r="G11" s="458"/>
      <c r="H11" s="458"/>
      <c r="I11" s="458"/>
      <c r="J11" s="458"/>
      <c r="K11" s="466"/>
      <c r="L11" s="155">
        <f>SUM(L5:L10)</f>
        <v>0</v>
      </c>
      <c r="M11" s="155">
        <f>SUM(M5:M10)</f>
        <v>0</v>
      </c>
      <c r="N11" s="152"/>
    </row>
    <row r="12" spans="1:14" ht="26" x14ac:dyDescent="0.35">
      <c r="A12" s="246"/>
      <c r="B12" s="247"/>
      <c r="C12" s="248"/>
      <c r="D12" s="248"/>
      <c r="E12" s="248"/>
      <c r="F12" s="248"/>
      <c r="G12" s="248"/>
      <c r="H12" s="248"/>
      <c r="I12" s="248"/>
      <c r="J12" s="248"/>
      <c r="K12" s="248"/>
    </row>
    <row r="13" spans="1:14" ht="19" thickBot="1" x14ac:dyDescent="0.4">
      <c r="C13" s="19"/>
      <c r="D13" s="19"/>
    </row>
    <row r="14" spans="1:14" s="1" customFormat="1" ht="30.75" customHeight="1" thickBot="1" x14ac:dyDescent="0.4">
      <c r="A14" s="290" t="s">
        <v>25</v>
      </c>
      <c r="B14" s="290" t="s">
        <v>26</v>
      </c>
      <c r="C14" s="479" t="s">
        <v>27</v>
      </c>
      <c r="D14" s="478"/>
      <c r="E14" s="291"/>
      <c r="F14" s="477" t="s">
        <v>11</v>
      </c>
      <c r="G14" s="478"/>
      <c r="H14" s="292" t="s">
        <v>48</v>
      </c>
      <c r="I14" s="292" t="s">
        <v>0</v>
      </c>
      <c r="J14" s="292" t="s">
        <v>1</v>
      </c>
      <c r="K14" s="292" t="s">
        <v>2</v>
      </c>
      <c r="L14" s="292" t="s">
        <v>7</v>
      </c>
      <c r="M14" s="292" t="s">
        <v>8</v>
      </c>
      <c r="N14" s="292" t="s">
        <v>3</v>
      </c>
    </row>
    <row r="15" spans="1:14" s="204" customFormat="1" ht="15" customHeight="1" thickBot="1" x14ac:dyDescent="0.4">
      <c r="A15" s="285"/>
      <c r="B15" s="286"/>
      <c r="C15" s="287"/>
      <c r="D15" s="287"/>
      <c r="E15" s="271"/>
      <c r="F15" s="288"/>
      <c r="G15" s="288"/>
      <c r="H15" s="288"/>
      <c r="I15" s="288"/>
      <c r="J15" s="288"/>
      <c r="K15" s="288"/>
      <c r="L15" s="288"/>
      <c r="M15" s="288"/>
      <c r="N15" s="288"/>
    </row>
    <row r="16" spans="1:14" ht="18.5" x14ac:dyDescent="0.35">
      <c r="A16" s="476" t="s">
        <v>41</v>
      </c>
      <c r="B16" s="55"/>
      <c r="C16" s="45"/>
      <c r="D16" s="45"/>
      <c r="E16" s="46"/>
      <c r="F16" s="47"/>
      <c r="G16" s="47"/>
      <c r="H16" s="44"/>
      <c r="I16" s="48"/>
      <c r="J16" s="92"/>
      <c r="K16" s="49"/>
      <c r="L16" s="49"/>
      <c r="M16" s="49"/>
      <c r="N16" s="146"/>
    </row>
    <row r="17" spans="1:14" ht="21" customHeight="1" x14ac:dyDescent="0.35">
      <c r="A17" s="470"/>
      <c r="B17" s="57">
        <v>150</v>
      </c>
      <c r="C17" s="35" t="s">
        <v>9</v>
      </c>
      <c r="D17" s="35" t="s">
        <v>237</v>
      </c>
      <c r="E17" s="36"/>
      <c r="F17" s="37" t="s">
        <v>236</v>
      </c>
      <c r="G17" s="10"/>
      <c r="H17" s="103" t="s">
        <v>546</v>
      </c>
      <c r="I17" s="68" t="s">
        <v>6</v>
      </c>
      <c r="J17" s="95">
        <v>1</v>
      </c>
      <c r="K17" s="312">
        <v>0</v>
      </c>
      <c r="L17" s="141"/>
      <c r="M17" s="69">
        <f>K17*J17</f>
        <v>0</v>
      </c>
      <c r="N17" s="147"/>
    </row>
    <row r="18" spans="1:14" ht="21" customHeight="1" x14ac:dyDescent="0.35">
      <c r="A18" s="470"/>
      <c r="B18" s="56"/>
      <c r="C18" s="18"/>
      <c r="D18" s="18"/>
      <c r="E18" s="9"/>
      <c r="F18" s="25"/>
      <c r="G18" s="11"/>
      <c r="H18" s="103"/>
      <c r="I18" s="68"/>
      <c r="J18" s="95"/>
      <c r="K18" s="69"/>
      <c r="L18" s="69"/>
      <c r="M18" s="69"/>
      <c r="N18" s="148"/>
    </row>
    <row r="19" spans="1:14" ht="29" x14ac:dyDescent="0.35">
      <c r="A19" s="470"/>
      <c r="B19" s="57">
        <v>151</v>
      </c>
      <c r="C19" s="35" t="s">
        <v>9</v>
      </c>
      <c r="D19" s="35" t="s">
        <v>238</v>
      </c>
      <c r="E19" s="40"/>
      <c r="F19" s="39" t="s">
        <v>37</v>
      </c>
      <c r="G19" s="13"/>
      <c r="H19" s="88" t="s">
        <v>544</v>
      </c>
      <c r="I19" s="68" t="s">
        <v>6</v>
      </c>
      <c r="J19" s="95">
        <v>1</v>
      </c>
      <c r="K19" s="312">
        <v>0</v>
      </c>
      <c r="L19" s="141"/>
      <c r="M19" s="69">
        <f>K19*J19</f>
        <v>0</v>
      </c>
      <c r="N19" s="148"/>
    </row>
    <row r="20" spans="1:14" ht="19" thickBot="1" x14ac:dyDescent="0.4">
      <c r="A20" s="470"/>
      <c r="B20" s="56"/>
      <c r="C20" s="20"/>
      <c r="D20" s="20"/>
      <c r="E20" s="8"/>
      <c r="F20" s="26"/>
      <c r="G20" s="13"/>
      <c r="H20" s="103"/>
      <c r="I20" s="68"/>
      <c r="J20" s="95"/>
      <c r="K20" s="69"/>
      <c r="L20" s="69"/>
      <c r="M20" s="69"/>
      <c r="N20" s="148"/>
    </row>
    <row r="21" spans="1:14" ht="19" thickBot="1" x14ac:dyDescent="0.4">
      <c r="A21" s="470"/>
      <c r="B21" s="453" t="s">
        <v>13</v>
      </c>
      <c r="C21" s="454"/>
      <c r="D21" s="454"/>
      <c r="E21" s="454"/>
      <c r="F21" s="454"/>
      <c r="G21" s="140"/>
      <c r="H21" s="140" t="s">
        <v>459</v>
      </c>
      <c r="I21" s="50"/>
      <c r="J21" s="94"/>
      <c r="K21" s="51"/>
      <c r="L21" s="52">
        <f>SUM(L17:L19)</f>
        <v>0</v>
      </c>
      <c r="M21" s="53">
        <f>SUM(M17:M19)</f>
        <v>0</v>
      </c>
      <c r="N21" s="148"/>
    </row>
    <row r="22" spans="1:14" ht="19" thickBot="1" x14ac:dyDescent="0.4">
      <c r="A22" s="471"/>
      <c r="B22" s="58"/>
      <c r="C22" s="21"/>
      <c r="D22" s="21"/>
      <c r="E22" s="14"/>
      <c r="F22" s="15"/>
      <c r="G22" s="15"/>
      <c r="H22" s="16"/>
      <c r="I22" s="17"/>
      <c r="J22" s="96"/>
      <c r="K22" s="277"/>
      <c r="L22" s="278"/>
      <c r="M22" s="276"/>
      <c r="N22" s="148"/>
    </row>
    <row r="23" spans="1:14" x14ac:dyDescent="0.35">
      <c r="A23" s="469" t="s">
        <v>40</v>
      </c>
      <c r="B23" s="56"/>
      <c r="C23" s="8"/>
      <c r="D23" s="8"/>
      <c r="E23" s="8"/>
      <c r="F23" s="8"/>
      <c r="G23" s="8"/>
      <c r="H23" s="141"/>
      <c r="I23" s="141"/>
      <c r="J23" s="162"/>
      <c r="K23" s="141"/>
      <c r="L23" s="141"/>
      <c r="M23" s="141"/>
      <c r="N23" s="146"/>
    </row>
    <row r="24" spans="1:14" ht="18.75" customHeight="1" x14ac:dyDescent="0.35">
      <c r="A24" s="470"/>
      <c r="B24" s="57">
        <v>152</v>
      </c>
      <c r="C24" s="35" t="s">
        <v>14</v>
      </c>
      <c r="D24" s="35" t="s">
        <v>237</v>
      </c>
      <c r="E24" s="40"/>
      <c r="F24" s="160" t="s">
        <v>32</v>
      </c>
      <c r="G24" s="161" t="s">
        <v>17</v>
      </c>
      <c r="H24" s="103" t="s">
        <v>475</v>
      </c>
      <c r="I24" s="68" t="s">
        <v>5</v>
      </c>
      <c r="J24" s="95">
        <f>1.78*2+0.83*2</f>
        <v>5.22</v>
      </c>
      <c r="K24" s="312">
        <v>0</v>
      </c>
      <c r="L24" s="69">
        <f>K24*J24</f>
        <v>0</v>
      </c>
      <c r="M24" s="312">
        <v>0</v>
      </c>
      <c r="N24" s="148"/>
    </row>
    <row r="25" spans="1:14" ht="18.5" x14ac:dyDescent="0.35">
      <c r="A25" s="470"/>
      <c r="B25" s="56"/>
      <c r="C25" s="20"/>
      <c r="D25" s="20"/>
      <c r="E25" s="8"/>
      <c r="F25" s="13"/>
      <c r="G25" s="161"/>
      <c r="H25" s="103" t="s">
        <v>476</v>
      </c>
      <c r="I25" s="68" t="s">
        <v>5</v>
      </c>
      <c r="J25" s="95">
        <f>3*0.75</f>
        <v>2.25</v>
      </c>
      <c r="K25" s="312">
        <v>0</v>
      </c>
      <c r="L25" s="69">
        <f>K25*J25</f>
        <v>0</v>
      </c>
      <c r="M25" s="312">
        <v>0</v>
      </c>
      <c r="N25" s="148"/>
    </row>
    <row r="26" spans="1:14" x14ac:dyDescent="0.35">
      <c r="A26" s="470"/>
      <c r="B26" s="56"/>
      <c r="C26" s="8"/>
      <c r="D26" s="8"/>
      <c r="E26" s="8"/>
      <c r="F26" s="13"/>
      <c r="G26" s="161"/>
      <c r="H26" s="103" t="s">
        <v>705</v>
      </c>
      <c r="I26" s="68" t="s">
        <v>5</v>
      </c>
      <c r="J26" s="95">
        <f>3*0.75*0.03</f>
        <v>6.7500000000000004E-2</v>
      </c>
      <c r="K26" s="312">
        <v>0</v>
      </c>
      <c r="L26" s="69">
        <f>K26*J26</f>
        <v>0</v>
      </c>
      <c r="M26" s="312">
        <v>0</v>
      </c>
      <c r="N26" s="148"/>
    </row>
    <row r="27" spans="1:14" x14ac:dyDescent="0.35">
      <c r="A27" s="470"/>
      <c r="B27" s="56"/>
      <c r="C27" s="8"/>
      <c r="D27" s="8"/>
      <c r="E27" s="8"/>
      <c r="F27" s="13"/>
      <c r="G27" s="161"/>
      <c r="H27" s="103"/>
      <c r="I27" s="68"/>
      <c r="J27" s="95"/>
      <c r="K27" s="69"/>
      <c r="L27" s="69"/>
      <c r="M27" s="69"/>
      <c r="N27" s="148"/>
    </row>
    <row r="28" spans="1:14" x14ac:dyDescent="0.35">
      <c r="A28" s="470"/>
      <c r="B28" s="56"/>
      <c r="C28" s="8"/>
      <c r="D28" s="8"/>
      <c r="E28" s="8"/>
      <c r="F28" s="13"/>
      <c r="G28" s="161" t="s">
        <v>18</v>
      </c>
      <c r="H28" s="103" t="s">
        <v>498</v>
      </c>
      <c r="I28" s="68" t="s">
        <v>4</v>
      </c>
      <c r="J28" s="95">
        <f>J24*2*0.04*3+0.5</f>
        <v>1.7527999999999999</v>
      </c>
      <c r="K28" s="312">
        <v>0</v>
      </c>
      <c r="L28" s="69">
        <f>K28*J28</f>
        <v>0</v>
      </c>
      <c r="M28" s="312">
        <v>0</v>
      </c>
      <c r="N28" s="148" t="s">
        <v>519</v>
      </c>
    </row>
    <row r="29" spans="1:14" x14ac:dyDescent="0.35">
      <c r="A29" s="470"/>
      <c r="B29" s="56"/>
      <c r="C29" s="8"/>
      <c r="D29" s="8"/>
      <c r="E29" s="8"/>
      <c r="F29" s="13"/>
      <c r="G29" s="161"/>
      <c r="H29" s="103"/>
      <c r="I29" s="68"/>
      <c r="J29" s="95"/>
      <c r="K29" s="69"/>
      <c r="L29" s="69"/>
      <c r="M29" s="69"/>
      <c r="N29" s="148"/>
    </row>
    <row r="30" spans="1:14" x14ac:dyDescent="0.35">
      <c r="A30" s="470"/>
      <c r="B30" s="56"/>
      <c r="C30" s="8"/>
      <c r="D30" s="8"/>
      <c r="E30" s="8"/>
      <c r="F30" s="13"/>
      <c r="G30" s="161" t="s">
        <v>19</v>
      </c>
      <c r="H30" s="103" t="s">
        <v>770</v>
      </c>
      <c r="I30" s="68" t="s">
        <v>4</v>
      </c>
      <c r="J30" s="95">
        <f>0.79*0.79</f>
        <v>0.6241000000000001</v>
      </c>
      <c r="K30" s="312">
        <v>0</v>
      </c>
      <c r="L30" s="69">
        <f>K30*J30</f>
        <v>0</v>
      </c>
      <c r="M30" s="312">
        <v>0</v>
      </c>
      <c r="N30" s="148"/>
    </row>
    <row r="31" spans="1:14" x14ac:dyDescent="0.35">
      <c r="A31" s="470"/>
      <c r="B31" s="56"/>
      <c r="C31" s="8"/>
      <c r="D31" s="8"/>
      <c r="E31" s="8"/>
      <c r="F31" s="13"/>
      <c r="G31" s="13"/>
      <c r="H31" s="103"/>
      <c r="I31" s="68"/>
      <c r="J31" s="95"/>
      <c r="K31" s="69"/>
      <c r="L31" s="69"/>
      <c r="M31" s="69"/>
      <c r="N31" s="148"/>
    </row>
    <row r="32" spans="1:14" ht="15.5" x14ac:dyDescent="0.35">
      <c r="A32" s="470"/>
      <c r="B32" s="76"/>
      <c r="C32" s="77"/>
      <c r="D32" s="77"/>
      <c r="E32" s="77"/>
      <c r="F32" s="30"/>
      <c r="G32" s="31"/>
      <c r="H32" s="32" t="s">
        <v>459</v>
      </c>
      <c r="I32" s="33"/>
      <c r="J32" s="98"/>
      <c r="K32" s="34"/>
      <c r="L32" s="137">
        <f>SUM(L24:L30)</f>
        <v>0</v>
      </c>
      <c r="M32" s="137">
        <f>SUM(M24:M30)</f>
        <v>0</v>
      </c>
      <c r="N32" s="148"/>
    </row>
    <row r="33" spans="1:14" ht="18.75" customHeight="1" x14ac:dyDescent="0.35">
      <c r="A33" s="470"/>
      <c r="B33" s="56"/>
      <c r="C33" s="20"/>
      <c r="D33" s="20"/>
      <c r="E33" s="8"/>
      <c r="F33" s="13"/>
      <c r="G33" s="13"/>
      <c r="H33" s="141"/>
      <c r="I33" s="68"/>
      <c r="J33" s="95"/>
      <c r="K33" s="69"/>
      <c r="L33" s="69"/>
      <c r="M33" s="69"/>
      <c r="N33" s="148"/>
    </row>
    <row r="34" spans="1:14" ht="18.75" customHeight="1" x14ac:dyDescent="0.35">
      <c r="A34" s="470"/>
      <c r="B34" s="57">
        <v>153</v>
      </c>
      <c r="C34" s="35" t="s">
        <v>14</v>
      </c>
      <c r="D34" s="236" t="s">
        <v>238</v>
      </c>
      <c r="E34" s="40"/>
      <c r="F34" s="160" t="s">
        <v>694</v>
      </c>
      <c r="G34" s="161" t="s">
        <v>16</v>
      </c>
      <c r="H34" s="103" t="s">
        <v>456</v>
      </c>
      <c r="I34" s="68" t="s">
        <v>4</v>
      </c>
      <c r="J34" s="95">
        <f>0.6*0.6*2</f>
        <v>0.72</v>
      </c>
      <c r="K34" s="312">
        <v>0</v>
      </c>
      <c r="L34" s="69">
        <f>K34*J34</f>
        <v>0</v>
      </c>
      <c r="M34" s="312">
        <v>0</v>
      </c>
      <c r="N34" s="148"/>
    </row>
    <row r="35" spans="1:14" ht="18.5" x14ac:dyDescent="0.35">
      <c r="A35" s="470"/>
      <c r="B35" s="56"/>
      <c r="C35" s="20"/>
      <c r="D35" s="20"/>
      <c r="E35" s="8"/>
      <c r="F35" s="13"/>
      <c r="G35" s="161"/>
      <c r="H35" s="103"/>
      <c r="I35" s="68"/>
      <c r="J35" s="95"/>
      <c r="K35" s="69"/>
      <c r="L35" s="69"/>
      <c r="M35" s="69"/>
      <c r="N35" s="148"/>
    </row>
    <row r="36" spans="1:14" ht="15.5" x14ac:dyDescent="0.35">
      <c r="A36" s="470"/>
      <c r="B36" s="56"/>
      <c r="C36" s="8"/>
      <c r="D36" s="8"/>
      <c r="E36" s="8"/>
      <c r="F36" s="25"/>
      <c r="G36" s="161" t="s">
        <v>17</v>
      </c>
      <c r="H36" s="103" t="s">
        <v>457</v>
      </c>
      <c r="I36" s="68" t="s">
        <v>5</v>
      </c>
      <c r="J36" s="95">
        <f>0.6*4*2+2*0.6+4*0.25</f>
        <v>7</v>
      </c>
      <c r="K36" s="312">
        <v>0</v>
      </c>
      <c r="L36" s="69">
        <f>K36*J36</f>
        <v>0</v>
      </c>
      <c r="M36" s="312">
        <v>0</v>
      </c>
      <c r="N36" s="148"/>
    </row>
    <row r="37" spans="1:14" x14ac:dyDescent="0.35">
      <c r="A37" s="470"/>
      <c r="B37" s="56"/>
      <c r="C37" s="8"/>
      <c r="D37" s="8"/>
      <c r="E37" s="8"/>
      <c r="F37" s="13"/>
      <c r="G37" s="161"/>
      <c r="H37" s="103" t="s">
        <v>578</v>
      </c>
      <c r="I37" s="68" t="s">
        <v>4</v>
      </c>
      <c r="J37" s="95">
        <f>2*0.06*4*0.6+2*0.6*0.6+4*0.25*0.3</f>
        <v>1.3080000000000001</v>
      </c>
      <c r="K37" s="312">
        <v>0</v>
      </c>
      <c r="L37" s="69">
        <f>K37*J37</f>
        <v>0</v>
      </c>
      <c r="M37" s="312">
        <v>0</v>
      </c>
      <c r="N37" s="148"/>
    </row>
    <row r="38" spans="1:14" x14ac:dyDescent="0.35">
      <c r="A38" s="470"/>
      <c r="B38" s="56"/>
      <c r="C38" s="8"/>
      <c r="D38" s="8"/>
      <c r="E38" s="8"/>
      <c r="F38" s="13"/>
      <c r="G38" s="161"/>
      <c r="H38" s="103" t="s">
        <v>579</v>
      </c>
      <c r="I38" s="68" t="s">
        <v>4</v>
      </c>
      <c r="J38" s="95">
        <f>2*0.6</f>
        <v>1.2</v>
      </c>
      <c r="K38" s="312">
        <v>0</v>
      </c>
      <c r="L38" s="69">
        <f>K38*J38</f>
        <v>0</v>
      </c>
      <c r="M38" s="312">
        <v>0</v>
      </c>
      <c r="N38" s="148"/>
    </row>
    <row r="39" spans="1:14" x14ac:dyDescent="0.35">
      <c r="A39" s="470"/>
      <c r="B39" s="56"/>
      <c r="C39" s="8"/>
      <c r="D39" s="8"/>
      <c r="E39" s="8"/>
      <c r="F39" s="13"/>
      <c r="G39" s="161"/>
      <c r="H39" s="103"/>
      <c r="I39" s="68"/>
      <c r="J39" s="95"/>
      <c r="K39" s="69"/>
      <c r="L39" s="69"/>
      <c r="M39" s="69"/>
      <c r="N39" s="148"/>
    </row>
    <row r="40" spans="1:14" x14ac:dyDescent="0.35">
      <c r="A40" s="470"/>
      <c r="B40" s="56"/>
      <c r="C40" s="8"/>
      <c r="D40" s="8"/>
      <c r="E40" s="8"/>
      <c r="F40" s="13"/>
      <c r="G40" s="161" t="s">
        <v>18</v>
      </c>
      <c r="H40" s="103" t="s">
        <v>149</v>
      </c>
      <c r="I40" s="68" t="s">
        <v>4</v>
      </c>
      <c r="J40" s="95">
        <f>J37</f>
        <v>1.3080000000000001</v>
      </c>
      <c r="K40" s="312">
        <v>0</v>
      </c>
      <c r="L40" s="69">
        <f>K40*J40</f>
        <v>0</v>
      </c>
      <c r="M40" s="312">
        <v>0</v>
      </c>
      <c r="N40" s="148" t="s">
        <v>519</v>
      </c>
    </row>
    <row r="41" spans="1:14" x14ac:dyDescent="0.35">
      <c r="A41" s="470"/>
      <c r="B41" s="56"/>
      <c r="C41" s="8"/>
      <c r="D41" s="8"/>
      <c r="E41" s="8"/>
      <c r="F41" s="13"/>
      <c r="G41" s="161"/>
      <c r="H41" s="103"/>
      <c r="I41" s="68"/>
      <c r="J41" s="95"/>
      <c r="K41" s="69"/>
      <c r="L41" s="69"/>
      <c r="M41" s="69"/>
      <c r="N41" s="148"/>
    </row>
    <row r="42" spans="1:14" ht="29" x14ac:dyDescent="0.35">
      <c r="A42" s="470"/>
      <c r="B42" s="56"/>
      <c r="C42" s="8"/>
      <c r="D42" s="8"/>
      <c r="E42" s="8"/>
      <c r="F42" s="13"/>
      <c r="G42" s="161" t="s">
        <v>19</v>
      </c>
      <c r="H42" s="221" t="s">
        <v>773</v>
      </c>
      <c r="I42" s="68" t="s">
        <v>4</v>
      </c>
      <c r="J42" s="95">
        <f>4*0.6*1.73</f>
        <v>4.1520000000000001</v>
      </c>
      <c r="K42" s="312">
        <v>0</v>
      </c>
      <c r="L42" s="69">
        <f>K42*J42</f>
        <v>0</v>
      </c>
      <c r="M42" s="312">
        <v>0</v>
      </c>
      <c r="N42" s="148"/>
    </row>
    <row r="43" spans="1:14" x14ac:dyDescent="0.35">
      <c r="A43" s="470"/>
      <c r="B43" s="56"/>
      <c r="C43" s="8"/>
      <c r="D43" s="8"/>
      <c r="E43" s="8"/>
      <c r="F43" s="13"/>
      <c r="G43" s="161"/>
      <c r="H43" s="103"/>
      <c r="I43" s="68"/>
      <c r="J43" s="95"/>
      <c r="K43" s="69"/>
      <c r="L43" s="69"/>
      <c r="M43" s="69"/>
      <c r="N43" s="148"/>
    </row>
    <row r="44" spans="1:14" x14ac:dyDescent="0.35">
      <c r="A44" s="470"/>
      <c r="B44" s="56"/>
      <c r="C44" s="8"/>
      <c r="D44" s="8"/>
      <c r="E44" s="8"/>
      <c r="F44" s="13"/>
      <c r="G44" s="13" t="s">
        <v>28</v>
      </c>
      <c r="H44" s="103" t="s">
        <v>29</v>
      </c>
      <c r="I44" s="68" t="s">
        <v>6</v>
      </c>
      <c r="J44" s="95">
        <v>2</v>
      </c>
      <c r="K44" s="312">
        <v>0</v>
      </c>
      <c r="L44" s="69">
        <f>K44*J44</f>
        <v>0</v>
      </c>
      <c r="M44" s="312">
        <v>0</v>
      </c>
      <c r="N44" s="148"/>
    </row>
    <row r="45" spans="1:14" x14ac:dyDescent="0.35">
      <c r="A45" s="470"/>
      <c r="B45" s="56"/>
      <c r="C45" s="8"/>
      <c r="D45" s="8"/>
      <c r="E45" s="8"/>
      <c r="F45" s="13"/>
      <c r="G45" s="13"/>
      <c r="H45" s="103" t="s">
        <v>30</v>
      </c>
      <c r="I45" s="68" t="s">
        <v>6</v>
      </c>
      <c r="J45" s="95">
        <v>2</v>
      </c>
      <c r="K45" s="312">
        <v>0</v>
      </c>
      <c r="L45" s="69">
        <f>K45*J45</f>
        <v>0</v>
      </c>
      <c r="M45" s="312">
        <v>0</v>
      </c>
      <c r="N45" s="148" t="s">
        <v>575</v>
      </c>
    </row>
    <row r="46" spans="1:14" x14ac:dyDescent="0.35">
      <c r="A46" s="470"/>
      <c r="B46" s="56"/>
      <c r="C46" s="8"/>
      <c r="D46" s="8"/>
      <c r="E46" s="8"/>
      <c r="F46" s="13"/>
      <c r="G46" s="13"/>
      <c r="H46" s="103" t="s">
        <v>580</v>
      </c>
      <c r="I46" s="68" t="s">
        <v>6</v>
      </c>
      <c r="J46" s="95">
        <v>1</v>
      </c>
      <c r="K46" s="312">
        <v>0</v>
      </c>
      <c r="L46" s="69">
        <f>K46*J46</f>
        <v>0</v>
      </c>
      <c r="M46" s="312">
        <v>0</v>
      </c>
      <c r="N46" s="148"/>
    </row>
    <row r="47" spans="1:14" x14ac:dyDescent="0.35">
      <c r="A47" s="470"/>
      <c r="B47" s="56"/>
      <c r="C47" s="8"/>
      <c r="D47" s="8"/>
      <c r="E47" s="8"/>
      <c r="F47" s="13"/>
      <c r="G47" s="13"/>
      <c r="H47" s="103" t="s">
        <v>150</v>
      </c>
      <c r="I47" s="68" t="s">
        <v>6</v>
      </c>
      <c r="J47" s="95">
        <v>4</v>
      </c>
      <c r="K47" s="312">
        <v>0</v>
      </c>
      <c r="L47" s="69">
        <f>K47*J47</f>
        <v>0</v>
      </c>
      <c r="M47" s="312">
        <v>0</v>
      </c>
      <c r="N47" s="148"/>
    </row>
    <row r="48" spans="1:14" x14ac:dyDescent="0.35">
      <c r="A48" s="470"/>
      <c r="B48" s="56"/>
      <c r="C48" s="8"/>
      <c r="D48" s="8"/>
      <c r="E48" s="8"/>
      <c r="F48" s="13"/>
      <c r="G48" s="13"/>
      <c r="H48" s="103" t="s">
        <v>581</v>
      </c>
      <c r="I48" s="68" t="s">
        <v>6</v>
      </c>
      <c r="J48" s="95">
        <v>3</v>
      </c>
      <c r="K48" s="312">
        <v>0</v>
      </c>
      <c r="L48" s="69">
        <f>K48*J48</f>
        <v>0</v>
      </c>
      <c r="M48" s="312">
        <v>0</v>
      </c>
      <c r="N48" s="148"/>
    </row>
    <row r="49" spans="1:14" x14ac:dyDescent="0.35">
      <c r="A49" s="470"/>
      <c r="B49" s="56"/>
      <c r="C49" s="8"/>
      <c r="D49" s="8"/>
      <c r="E49" s="8"/>
      <c r="F49" s="13"/>
      <c r="G49" s="13"/>
      <c r="H49" s="103"/>
      <c r="I49" s="68"/>
      <c r="J49" s="95"/>
      <c r="K49" s="69"/>
      <c r="L49" s="69"/>
      <c r="M49" s="69"/>
      <c r="N49" s="148"/>
    </row>
    <row r="50" spans="1:14" ht="15.5" x14ac:dyDescent="0.35">
      <c r="A50" s="470"/>
      <c r="B50" s="56"/>
      <c r="C50" s="8"/>
      <c r="D50" s="8"/>
      <c r="E50" s="8"/>
      <c r="F50" s="25" t="s">
        <v>637</v>
      </c>
      <c r="G50" s="13"/>
      <c r="H50" s="103" t="s">
        <v>690</v>
      </c>
      <c r="I50" s="68"/>
      <c r="J50" s="95"/>
      <c r="K50" s="69"/>
      <c r="L50" s="89">
        <f>SUM(L34:L48)</f>
        <v>0</v>
      </c>
      <c r="M50" s="89">
        <f>SUM(M34:M48)</f>
        <v>0</v>
      </c>
      <c r="N50" s="148"/>
    </row>
    <row r="51" spans="1:14" ht="15.5" x14ac:dyDescent="0.35">
      <c r="A51" s="470"/>
      <c r="B51" s="76"/>
      <c r="C51" s="77"/>
      <c r="D51" s="77"/>
      <c r="E51" s="77"/>
      <c r="F51" s="237" t="s">
        <v>695</v>
      </c>
      <c r="G51" s="64"/>
      <c r="H51" s="65" t="s">
        <v>696</v>
      </c>
      <c r="I51" s="66"/>
      <c r="J51" s="102"/>
      <c r="K51" s="67"/>
      <c r="L51" s="89">
        <f>L50*6</f>
        <v>0</v>
      </c>
      <c r="M51" s="89">
        <f>M50*6</f>
        <v>0</v>
      </c>
      <c r="N51" s="148"/>
    </row>
    <row r="52" spans="1:14" x14ac:dyDescent="0.35">
      <c r="A52" s="470"/>
      <c r="B52" s="56"/>
      <c r="C52" s="8"/>
      <c r="D52" s="8"/>
      <c r="E52" s="8"/>
      <c r="F52" s="28"/>
      <c r="G52" s="28"/>
      <c r="H52" s="29"/>
      <c r="I52" s="29"/>
      <c r="J52" s="97"/>
      <c r="K52" s="29"/>
      <c r="L52" s="29"/>
      <c r="M52" s="29"/>
      <c r="N52" s="148"/>
    </row>
    <row r="53" spans="1:14" ht="18.5" x14ac:dyDescent="0.35">
      <c r="A53" s="470"/>
      <c r="B53" s="57">
        <v>154</v>
      </c>
      <c r="C53" s="35" t="s">
        <v>14</v>
      </c>
      <c r="D53" s="35" t="s">
        <v>239</v>
      </c>
      <c r="E53" s="40"/>
      <c r="F53" s="160" t="s">
        <v>170</v>
      </c>
      <c r="G53" s="161" t="s">
        <v>16</v>
      </c>
      <c r="H53" s="103" t="s">
        <v>474</v>
      </c>
      <c r="I53" s="68"/>
      <c r="J53" s="212">
        <f>(1.5*0.4+2*0.4*0.4)</f>
        <v>0.92000000000000015</v>
      </c>
      <c r="K53" s="312">
        <v>0</v>
      </c>
      <c r="L53" s="69">
        <f>K53*J53</f>
        <v>0</v>
      </c>
      <c r="M53" s="312">
        <v>0</v>
      </c>
      <c r="N53" s="219" t="s">
        <v>539</v>
      </c>
    </row>
    <row r="54" spans="1:14" x14ac:dyDescent="0.35">
      <c r="A54" s="470"/>
      <c r="B54" s="56"/>
      <c r="C54" s="8"/>
      <c r="D54" s="8"/>
      <c r="E54" s="8"/>
      <c r="F54" s="13"/>
      <c r="G54" s="161"/>
      <c r="H54" s="103"/>
      <c r="I54" s="68"/>
      <c r="J54" s="212"/>
      <c r="K54" s="69"/>
      <c r="L54" s="69"/>
      <c r="M54" s="69"/>
      <c r="N54" s="148"/>
    </row>
    <row r="55" spans="1:14" x14ac:dyDescent="0.35">
      <c r="A55" s="470"/>
      <c r="B55" s="56"/>
      <c r="C55" s="8"/>
      <c r="D55" s="8"/>
      <c r="E55" s="8"/>
      <c r="F55" s="13"/>
      <c r="G55" s="161" t="s">
        <v>18</v>
      </c>
      <c r="H55" s="103" t="s">
        <v>171</v>
      </c>
      <c r="I55" s="68"/>
      <c r="J55" s="212">
        <f>J53*2</f>
        <v>1.8400000000000003</v>
      </c>
      <c r="K55" s="312">
        <v>0</v>
      </c>
      <c r="L55" s="69">
        <f>K55*J55</f>
        <v>0</v>
      </c>
      <c r="M55" s="312">
        <v>0</v>
      </c>
      <c r="N55" s="148" t="s">
        <v>768</v>
      </c>
    </row>
    <row r="56" spans="1:14" x14ac:dyDescent="0.35">
      <c r="A56" s="470"/>
      <c r="B56" s="56"/>
      <c r="C56" s="8"/>
      <c r="D56" s="8"/>
      <c r="E56" s="8"/>
      <c r="F56" s="13"/>
      <c r="G56" s="13"/>
      <c r="H56" s="103"/>
      <c r="I56" s="68"/>
      <c r="J56" s="212"/>
      <c r="K56" s="69"/>
      <c r="L56" s="69"/>
      <c r="M56" s="69"/>
      <c r="N56" s="148"/>
    </row>
    <row r="57" spans="1:14" s="79" customFormat="1" ht="15.5" x14ac:dyDescent="0.35">
      <c r="A57" s="470"/>
      <c r="B57" s="56"/>
      <c r="C57" s="8"/>
      <c r="D57" s="8"/>
      <c r="E57" s="8"/>
      <c r="F57" s="25" t="s">
        <v>478</v>
      </c>
      <c r="G57" s="13"/>
      <c r="H57" s="103" t="s">
        <v>690</v>
      </c>
      <c r="I57" s="68"/>
      <c r="J57" s="212"/>
      <c r="K57" s="69"/>
      <c r="L57" s="89">
        <f>SUM(L53:L55)</f>
        <v>0</v>
      </c>
      <c r="M57" s="89">
        <f>SUM(M53:M55)</f>
        <v>0</v>
      </c>
      <c r="N57" s="148"/>
    </row>
    <row r="58" spans="1:14" ht="15.5" x14ac:dyDescent="0.35">
      <c r="A58" s="470"/>
      <c r="B58" s="76"/>
      <c r="C58" s="77"/>
      <c r="D58" s="77"/>
      <c r="E58" s="77"/>
      <c r="F58" s="231" t="s">
        <v>693</v>
      </c>
      <c r="G58" s="31"/>
      <c r="H58" s="32" t="s">
        <v>459</v>
      </c>
      <c r="I58" s="33"/>
      <c r="J58" s="257"/>
      <c r="K58" s="34"/>
      <c r="L58" s="137">
        <f>L57*8</f>
        <v>0</v>
      </c>
      <c r="M58" s="137">
        <f>M57*8</f>
        <v>0</v>
      </c>
      <c r="N58" s="148"/>
    </row>
    <row r="59" spans="1:14" x14ac:dyDescent="0.35">
      <c r="A59" s="470"/>
      <c r="B59" s="56"/>
      <c r="C59" s="8"/>
      <c r="D59" s="8"/>
      <c r="E59" s="8"/>
      <c r="F59" s="8"/>
      <c r="G59" s="251"/>
      <c r="H59" s="229"/>
      <c r="I59" s="229"/>
      <c r="J59" s="268"/>
      <c r="K59" s="229"/>
      <c r="L59" s="229"/>
      <c r="M59" s="229"/>
      <c r="N59" s="148"/>
    </row>
    <row r="60" spans="1:14" ht="29" x14ac:dyDescent="0.35">
      <c r="A60" s="470"/>
      <c r="B60" s="57">
        <v>155</v>
      </c>
      <c r="C60" s="35" t="s">
        <v>14</v>
      </c>
      <c r="D60" s="35" t="s">
        <v>240</v>
      </c>
      <c r="E60" s="40"/>
      <c r="F60" s="160" t="s">
        <v>295</v>
      </c>
      <c r="G60" s="216"/>
      <c r="H60" s="221" t="s">
        <v>568</v>
      </c>
      <c r="I60" s="211" t="s">
        <v>6</v>
      </c>
      <c r="J60" s="212">
        <v>1</v>
      </c>
      <c r="K60" s="312">
        <v>0</v>
      </c>
      <c r="L60" s="220">
        <f>K60*J60</f>
        <v>0</v>
      </c>
      <c r="M60" s="312">
        <v>0</v>
      </c>
      <c r="N60" s="148" t="s">
        <v>365</v>
      </c>
    </row>
    <row r="61" spans="1:14" x14ac:dyDescent="0.35">
      <c r="A61" s="470"/>
      <c r="B61" s="56"/>
      <c r="C61" s="8"/>
      <c r="D61" s="8"/>
      <c r="E61" s="8"/>
      <c r="F61" s="217"/>
      <c r="G61" s="217"/>
      <c r="H61" s="239"/>
      <c r="I61" s="211"/>
      <c r="J61" s="212"/>
      <c r="K61" s="220"/>
      <c r="L61" s="220"/>
      <c r="M61" s="220"/>
      <c r="N61" s="148"/>
    </row>
    <row r="62" spans="1:14" ht="15.5" x14ac:dyDescent="0.35">
      <c r="A62" s="470"/>
      <c r="B62" s="76"/>
      <c r="C62" s="77"/>
      <c r="D62" s="77"/>
      <c r="E62" s="77"/>
      <c r="F62" s="262"/>
      <c r="G62" s="255"/>
      <c r="H62" s="234" t="s">
        <v>459</v>
      </c>
      <c r="I62" s="256"/>
      <c r="J62" s="257"/>
      <c r="K62" s="258"/>
      <c r="L62" s="137">
        <f>SUM(L60)</f>
        <v>0</v>
      </c>
      <c r="M62" s="137">
        <f>SUM(M60)</f>
        <v>0</v>
      </c>
      <c r="N62" s="148"/>
    </row>
    <row r="63" spans="1:14" ht="15" thickBot="1" x14ac:dyDescent="0.4">
      <c r="A63" s="470"/>
      <c r="B63" s="56"/>
      <c r="C63" s="8"/>
      <c r="D63" s="8"/>
      <c r="E63" s="8"/>
      <c r="F63" s="8"/>
      <c r="G63" s="8"/>
      <c r="H63" s="141"/>
      <c r="I63" s="141"/>
      <c r="J63" s="162"/>
      <c r="K63" s="141"/>
      <c r="L63" s="141"/>
      <c r="M63" s="141"/>
      <c r="N63" s="148"/>
    </row>
    <row r="64" spans="1:14" ht="19" thickBot="1" x14ac:dyDescent="0.4">
      <c r="A64" s="470"/>
      <c r="B64" s="453" t="s">
        <v>37</v>
      </c>
      <c r="C64" s="454"/>
      <c r="D64" s="454"/>
      <c r="E64" s="454"/>
      <c r="F64" s="454"/>
      <c r="G64" s="140"/>
      <c r="H64" s="140" t="s">
        <v>459</v>
      </c>
      <c r="I64" s="50"/>
      <c r="J64" s="94"/>
      <c r="K64" s="51"/>
      <c r="L64" s="52">
        <f>L62+L58+L51+L32</f>
        <v>0</v>
      </c>
      <c r="M64" s="53">
        <f>M62+M58+M51+M32</f>
        <v>0</v>
      </c>
      <c r="N64" s="148"/>
    </row>
    <row r="65" spans="1:14" ht="19" thickBot="1" x14ac:dyDescent="0.4">
      <c r="A65" s="471"/>
      <c r="B65" s="58"/>
      <c r="C65" s="21"/>
      <c r="D65" s="21"/>
      <c r="E65" s="14"/>
      <c r="F65" s="15"/>
      <c r="G65" s="15"/>
      <c r="H65" s="16"/>
      <c r="I65" s="17"/>
      <c r="J65" s="96"/>
      <c r="K65" s="277"/>
      <c r="L65" s="278"/>
      <c r="M65" s="276"/>
      <c r="N65" s="148"/>
    </row>
    <row r="66" spans="1:14" ht="18.5" x14ac:dyDescent="0.35">
      <c r="A66" s="469" t="s">
        <v>39</v>
      </c>
      <c r="B66" s="56"/>
      <c r="C66" s="20"/>
      <c r="D66" s="20"/>
      <c r="E66" s="8"/>
      <c r="F66" s="13"/>
      <c r="G66" s="13"/>
      <c r="H66" s="141"/>
      <c r="I66" s="68"/>
      <c r="J66" s="95"/>
      <c r="K66" s="69"/>
      <c r="L66" s="69"/>
      <c r="M66" s="69"/>
      <c r="N66" s="146"/>
    </row>
    <row r="67" spans="1:14" ht="18.5" x14ac:dyDescent="0.35">
      <c r="A67" s="470"/>
      <c r="B67" s="57">
        <v>156</v>
      </c>
      <c r="C67" s="35" t="s">
        <v>38</v>
      </c>
      <c r="D67" s="35" t="s">
        <v>237</v>
      </c>
      <c r="E67" s="40"/>
      <c r="F67" s="160" t="s">
        <v>32</v>
      </c>
      <c r="G67" s="161"/>
      <c r="H67" s="103" t="s">
        <v>42</v>
      </c>
      <c r="I67" s="68" t="s">
        <v>4</v>
      </c>
      <c r="J67" s="95">
        <f>0.75*0.75</f>
        <v>0.5625</v>
      </c>
      <c r="K67" s="312">
        <v>0</v>
      </c>
      <c r="L67" s="69">
        <f>K67*J67</f>
        <v>0</v>
      </c>
      <c r="M67" s="312">
        <v>0</v>
      </c>
      <c r="N67" s="148"/>
    </row>
    <row r="68" spans="1:14" x14ac:dyDescent="0.35">
      <c r="A68" s="470"/>
      <c r="B68" s="56"/>
      <c r="C68" s="8"/>
      <c r="D68" s="8"/>
      <c r="E68" s="8"/>
      <c r="F68" s="13"/>
      <c r="G68" s="13"/>
      <c r="H68" s="103"/>
      <c r="I68" s="68"/>
      <c r="J68" s="95"/>
      <c r="K68" s="69"/>
      <c r="L68" s="69"/>
      <c r="M68" s="69"/>
      <c r="N68" s="148"/>
    </row>
    <row r="69" spans="1:14" ht="15.5" x14ac:dyDescent="0.35">
      <c r="A69" s="470"/>
      <c r="B69" s="76"/>
      <c r="C69" s="77"/>
      <c r="D69" s="77"/>
      <c r="E69" s="77"/>
      <c r="F69" s="30"/>
      <c r="G69" s="31"/>
      <c r="H69" s="32" t="s">
        <v>459</v>
      </c>
      <c r="I69" s="33"/>
      <c r="J69" s="98"/>
      <c r="K69" s="34"/>
      <c r="L69" s="137">
        <f>SUM(L67:L67)</f>
        <v>0</v>
      </c>
      <c r="M69" s="137">
        <f>SUM(M67:M67)</f>
        <v>0</v>
      </c>
      <c r="N69" s="148"/>
    </row>
    <row r="70" spans="1:14" s="135" customFormat="1" ht="18.5" x14ac:dyDescent="0.35">
      <c r="A70" s="470"/>
      <c r="B70" s="56"/>
      <c r="C70" s="20"/>
      <c r="D70" s="20"/>
      <c r="E70" s="8"/>
      <c r="F70" s="13"/>
      <c r="G70" s="13"/>
      <c r="H70" s="141"/>
      <c r="I70" s="68"/>
      <c r="J70" s="95"/>
      <c r="K70" s="69"/>
      <c r="L70" s="69"/>
      <c r="M70" s="69"/>
      <c r="N70" s="148"/>
    </row>
    <row r="71" spans="1:14" s="135" customFormat="1" ht="18.5" x14ac:dyDescent="0.35">
      <c r="A71" s="470"/>
      <c r="B71" s="57">
        <v>157</v>
      </c>
      <c r="C71" s="35" t="s">
        <v>38</v>
      </c>
      <c r="D71" s="35" t="s">
        <v>237</v>
      </c>
      <c r="E71" s="40"/>
      <c r="F71" s="160" t="s">
        <v>103</v>
      </c>
      <c r="G71" s="161"/>
      <c r="H71" s="150" t="s">
        <v>584</v>
      </c>
      <c r="I71" s="3" t="s">
        <v>6</v>
      </c>
      <c r="J71" s="93">
        <v>20</v>
      </c>
      <c r="K71" s="312">
        <v>0</v>
      </c>
      <c r="M71" s="69">
        <f>J71*K71</f>
        <v>0</v>
      </c>
      <c r="N71" s="148" t="s">
        <v>711</v>
      </c>
    </row>
    <row r="72" spans="1:14" s="135" customFormat="1" x14ac:dyDescent="0.35">
      <c r="A72" s="470"/>
      <c r="B72" s="56"/>
      <c r="C72" s="8"/>
      <c r="D72" s="8"/>
      <c r="E72" s="8"/>
      <c r="F72" s="13"/>
      <c r="G72" s="13"/>
      <c r="H72" s="103"/>
      <c r="I72" s="68"/>
      <c r="J72" s="95"/>
      <c r="K72" s="69"/>
      <c r="L72" s="69"/>
      <c r="M72" s="69"/>
      <c r="N72" s="148"/>
    </row>
    <row r="73" spans="1:14" s="135" customFormat="1" ht="15.5" x14ac:dyDescent="0.35">
      <c r="A73" s="470"/>
      <c r="B73" s="76"/>
      <c r="C73" s="77"/>
      <c r="D73" s="77"/>
      <c r="E73" s="77"/>
      <c r="F73" s="30"/>
      <c r="G73" s="31"/>
      <c r="H73" s="32" t="s">
        <v>459</v>
      </c>
      <c r="I73" s="33"/>
      <c r="J73" s="98"/>
      <c r="K73" s="34"/>
      <c r="L73" s="137">
        <f>SUM(L71)</f>
        <v>0</v>
      </c>
      <c r="M73" s="137">
        <f>M71</f>
        <v>0</v>
      </c>
      <c r="N73" s="148"/>
    </row>
    <row r="74" spans="1:14" ht="15" thickBot="1" x14ac:dyDescent="0.4">
      <c r="A74" s="470"/>
      <c r="B74" s="56"/>
      <c r="C74" s="8"/>
      <c r="D74" s="8"/>
      <c r="E74" s="8"/>
      <c r="F74" s="8"/>
      <c r="G74" s="8"/>
      <c r="H74" s="141"/>
      <c r="I74" s="141"/>
      <c r="J74" s="162"/>
      <c r="K74" s="141"/>
      <c r="L74" s="141"/>
      <c r="M74" s="141"/>
      <c r="N74" s="148"/>
    </row>
    <row r="75" spans="1:14" ht="19" thickBot="1" x14ac:dyDescent="0.4">
      <c r="A75" s="470"/>
      <c r="B75" s="453" t="s">
        <v>43</v>
      </c>
      <c r="C75" s="454"/>
      <c r="D75" s="454"/>
      <c r="E75" s="454"/>
      <c r="F75" s="454"/>
      <c r="G75" s="140"/>
      <c r="H75" s="140" t="s">
        <v>459</v>
      </c>
      <c r="I75" s="50"/>
      <c r="J75" s="94"/>
      <c r="K75" s="51"/>
      <c r="L75" s="52">
        <f>L69+L73</f>
        <v>0</v>
      </c>
      <c r="M75" s="53">
        <f>M69+M73</f>
        <v>0</v>
      </c>
      <c r="N75" s="148"/>
    </row>
    <row r="76" spans="1:14" ht="19" thickBot="1" x14ac:dyDescent="0.4">
      <c r="A76" s="471"/>
      <c r="B76" s="58"/>
      <c r="C76" s="21"/>
      <c r="D76" s="21"/>
      <c r="E76" s="14"/>
      <c r="F76" s="15"/>
      <c r="G76" s="15"/>
      <c r="H76" s="16"/>
      <c r="I76" s="17"/>
      <c r="J76" s="96"/>
      <c r="K76" s="277"/>
      <c r="L76" s="278"/>
      <c r="M76" s="276"/>
      <c r="N76" s="219"/>
    </row>
    <row r="77" spans="1:14" ht="18.5" x14ac:dyDescent="0.35">
      <c r="A77" s="469" t="s">
        <v>46</v>
      </c>
      <c r="B77" s="56"/>
      <c r="C77" s="20"/>
      <c r="D77" s="20"/>
      <c r="E77" s="8"/>
      <c r="F77" s="13"/>
      <c r="G77" s="13"/>
      <c r="H77" s="141"/>
      <c r="I77" s="68"/>
      <c r="J77" s="95"/>
      <c r="K77" s="69"/>
      <c r="L77" s="69"/>
      <c r="M77" s="69"/>
      <c r="N77" s="146"/>
    </row>
    <row r="78" spans="1:14" ht="18.75" customHeight="1" x14ac:dyDescent="0.35">
      <c r="A78" s="470"/>
      <c r="B78" s="57">
        <v>158</v>
      </c>
      <c r="C78" s="35" t="s">
        <v>47</v>
      </c>
      <c r="D78" s="35" t="s">
        <v>324</v>
      </c>
      <c r="E78" s="40"/>
      <c r="F78" s="160" t="s">
        <v>50</v>
      </c>
      <c r="G78" s="161" t="s">
        <v>325</v>
      </c>
      <c r="H78" s="103" t="s">
        <v>582</v>
      </c>
      <c r="I78" s="68" t="s">
        <v>6</v>
      </c>
      <c r="J78" s="95">
        <v>10</v>
      </c>
      <c r="K78" s="312">
        <v>0</v>
      </c>
      <c r="L78" s="69">
        <f>K78*J78</f>
        <v>0</v>
      </c>
      <c r="M78" s="312">
        <v>0</v>
      </c>
      <c r="N78" s="148"/>
    </row>
    <row r="79" spans="1:14" x14ac:dyDescent="0.35">
      <c r="A79" s="470"/>
      <c r="B79" s="56"/>
      <c r="C79" s="8"/>
      <c r="D79" s="8"/>
      <c r="E79" s="8"/>
      <c r="F79" s="13"/>
      <c r="G79" s="13"/>
      <c r="H79" s="103"/>
      <c r="I79" s="68"/>
      <c r="J79" s="95"/>
      <c r="K79" s="69"/>
      <c r="L79" s="69"/>
      <c r="M79" s="69"/>
      <c r="N79" s="148"/>
    </row>
    <row r="80" spans="1:14" ht="15.5" x14ac:dyDescent="0.35">
      <c r="A80" s="470"/>
      <c r="B80" s="76"/>
      <c r="C80" s="77"/>
      <c r="D80" s="77"/>
      <c r="E80" s="77"/>
      <c r="F80" s="30"/>
      <c r="G80" s="31"/>
      <c r="H80" s="32" t="s">
        <v>459</v>
      </c>
      <c r="I80" s="33"/>
      <c r="J80" s="98"/>
      <c r="K80" s="34"/>
      <c r="L80" s="137">
        <f>SUM(L78:L78)</f>
        <v>0</v>
      </c>
      <c r="M80" s="137">
        <f>SUM(M78:M78)</f>
        <v>0</v>
      </c>
      <c r="N80" s="148"/>
    </row>
    <row r="81" spans="1:14" s="74" customFormat="1" ht="18.5" x14ac:dyDescent="0.35">
      <c r="A81" s="470"/>
      <c r="B81" s="56"/>
      <c r="C81" s="20"/>
      <c r="D81" s="20"/>
      <c r="E81" s="8"/>
      <c r="F81" s="13"/>
      <c r="G81" s="13"/>
      <c r="H81" s="141"/>
      <c r="I81" s="68"/>
      <c r="J81" s="95"/>
      <c r="K81" s="69"/>
      <c r="L81" s="69"/>
      <c r="M81" s="69"/>
      <c r="N81" s="148"/>
    </row>
    <row r="82" spans="1:14" s="74" customFormat="1" ht="18.75" customHeight="1" x14ac:dyDescent="0.35">
      <c r="A82" s="470"/>
      <c r="B82" s="57">
        <v>159</v>
      </c>
      <c r="C82" s="35" t="s">
        <v>47</v>
      </c>
      <c r="D82" s="35" t="s">
        <v>394</v>
      </c>
      <c r="E82" s="40"/>
      <c r="F82" s="160" t="s">
        <v>600</v>
      </c>
      <c r="G82" s="161" t="s">
        <v>319</v>
      </c>
      <c r="H82" s="103" t="s">
        <v>583</v>
      </c>
      <c r="I82" s="68" t="s">
        <v>5</v>
      </c>
      <c r="J82" s="95">
        <v>4</v>
      </c>
      <c r="K82" s="312">
        <v>0</v>
      </c>
      <c r="L82" s="69">
        <f>K82*J82</f>
        <v>0</v>
      </c>
      <c r="M82" s="312">
        <v>0</v>
      </c>
      <c r="N82" s="148"/>
    </row>
    <row r="83" spans="1:14" s="74" customFormat="1" x14ac:dyDescent="0.35">
      <c r="A83" s="470"/>
      <c r="B83" s="56"/>
      <c r="C83" s="8"/>
      <c r="D83" s="8"/>
      <c r="E83" s="8"/>
      <c r="F83" s="13"/>
      <c r="G83" s="13"/>
      <c r="H83" s="103"/>
      <c r="I83" s="68"/>
      <c r="J83" s="95"/>
      <c r="K83" s="69"/>
      <c r="L83" s="69"/>
      <c r="M83" s="69"/>
      <c r="N83" s="148"/>
    </row>
    <row r="84" spans="1:14" s="74" customFormat="1" ht="15.5" x14ac:dyDescent="0.35">
      <c r="A84" s="470"/>
      <c r="B84" s="76"/>
      <c r="C84" s="77"/>
      <c r="D84" s="77"/>
      <c r="E84" s="77"/>
      <c r="F84" s="30"/>
      <c r="G84" s="31"/>
      <c r="H84" s="32" t="s">
        <v>459</v>
      </c>
      <c r="I84" s="33"/>
      <c r="J84" s="98"/>
      <c r="K84" s="34"/>
      <c r="L84" s="137">
        <f>SUM(L82:L82)</f>
        <v>0</v>
      </c>
      <c r="M84" s="137">
        <f>SUM(M82:M82)</f>
        <v>0</v>
      </c>
      <c r="N84" s="148"/>
    </row>
    <row r="85" spans="1:14" x14ac:dyDescent="0.35">
      <c r="A85" s="470"/>
      <c r="B85" s="56"/>
      <c r="C85" s="8"/>
      <c r="D85" s="8"/>
      <c r="E85" s="8"/>
      <c r="F85" s="8"/>
      <c r="G85" s="8"/>
      <c r="H85" s="141"/>
      <c r="I85" s="141"/>
      <c r="J85" s="162"/>
      <c r="K85" s="141"/>
      <c r="L85" s="141"/>
      <c r="M85" s="141"/>
      <c r="N85" s="148"/>
    </row>
    <row r="86" spans="1:14" ht="29" x14ac:dyDescent="0.35">
      <c r="A86" s="470"/>
      <c r="B86" s="57">
        <v>160</v>
      </c>
      <c r="C86" s="35" t="s">
        <v>47</v>
      </c>
      <c r="D86" s="35" t="s">
        <v>326</v>
      </c>
      <c r="E86" s="40"/>
      <c r="F86" s="160" t="s">
        <v>327</v>
      </c>
      <c r="G86" s="161" t="s">
        <v>155</v>
      </c>
      <c r="H86" s="88" t="s">
        <v>585</v>
      </c>
      <c r="I86" s="68" t="s">
        <v>6</v>
      </c>
      <c r="J86" s="95">
        <v>48</v>
      </c>
      <c r="K86" s="312">
        <v>0</v>
      </c>
      <c r="L86" s="69">
        <f>K86*J86</f>
        <v>0</v>
      </c>
      <c r="M86" s="312">
        <v>0</v>
      </c>
      <c r="N86" s="148" t="s">
        <v>712</v>
      </c>
    </row>
    <row r="87" spans="1:14" x14ac:dyDescent="0.35">
      <c r="A87" s="470"/>
      <c r="B87" s="56"/>
      <c r="C87" s="8"/>
      <c r="D87" s="8"/>
      <c r="E87" s="8"/>
      <c r="F87" s="13"/>
      <c r="G87" s="13"/>
      <c r="H87" s="103"/>
      <c r="I87" s="68"/>
      <c r="J87" s="95"/>
      <c r="K87" s="69"/>
      <c r="L87" s="69"/>
      <c r="M87" s="69"/>
      <c r="N87" s="148"/>
    </row>
    <row r="88" spans="1:14" ht="15.5" x14ac:dyDescent="0.35">
      <c r="A88" s="470"/>
      <c r="B88" s="76"/>
      <c r="C88" s="77"/>
      <c r="D88" s="77"/>
      <c r="E88" s="77"/>
      <c r="F88" s="30"/>
      <c r="G88" s="31"/>
      <c r="H88" s="32" t="s">
        <v>459</v>
      </c>
      <c r="I88" s="33"/>
      <c r="J88" s="98"/>
      <c r="K88" s="34"/>
      <c r="L88" s="137">
        <f>SUM(L86:L86)</f>
        <v>0</v>
      </c>
      <c r="M88" s="137">
        <f>SUM(M86)</f>
        <v>0</v>
      </c>
      <c r="N88" s="148"/>
    </row>
    <row r="89" spans="1:14" ht="15" thickBot="1" x14ac:dyDescent="0.4">
      <c r="A89" s="470"/>
      <c r="B89" s="56"/>
      <c r="C89" s="8"/>
      <c r="D89" s="8"/>
      <c r="E89" s="8"/>
      <c r="F89" s="8"/>
      <c r="G89" s="8"/>
      <c r="H89" s="141"/>
      <c r="I89" s="141"/>
      <c r="J89" s="162"/>
      <c r="K89" s="141"/>
      <c r="L89" s="141"/>
      <c r="M89" s="141"/>
      <c r="N89" s="148"/>
    </row>
    <row r="90" spans="1:14" ht="19" thickBot="1" x14ac:dyDescent="0.4">
      <c r="A90" s="470"/>
      <c r="B90" s="453" t="s">
        <v>45</v>
      </c>
      <c r="C90" s="454"/>
      <c r="D90" s="454"/>
      <c r="E90" s="454"/>
      <c r="F90" s="454"/>
      <c r="G90" s="140"/>
      <c r="H90" s="140" t="s">
        <v>459</v>
      </c>
      <c r="I90" s="50"/>
      <c r="J90" s="94"/>
      <c r="K90" s="51"/>
      <c r="L90" s="52">
        <f>L88+L84+L80</f>
        <v>0</v>
      </c>
      <c r="M90" s="53">
        <f>M88+M84+M80</f>
        <v>0</v>
      </c>
      <c r="N90" s="148"/>
    </row>
    <row r="91" spans="1:14" ht="19" thickBot="1" x14ac:dyDescent="0.4">
      <c r="A91" s="471"/>
      <c r="B91" s="58"/>
      <c r="C91" s="21"/>
      <c r="D91" s="21"/>
      <c r="E91" s="14"/>
      <c r="F91" s="15"/>
      <c r="G91" s="15"/>
      <c r="H91" s="16"/>
      <c r="I91" s="17"/>
      <c r="J91" s="96"/>
      <c r="K91" s="22"/>
      <c r="L91" s="23"/>
      <c r="M91" s="24"/>
      <c r="N91" s="148"/>
    </row>
    <row r="92" spans="1:14" s="75" customFormat="1" ht="18.5" x14ac:dyDescent="0.35">
      <c r="A92" s="472" t="s">
        <v>59</v>
      </c>
      <c r="B92" s="249"/>
      <c r="C92" s="250"/>
      <c r="D92" s="250"/>
      <c r="E92" s="251"/>
      <c r="F92" s="217"/>
      <c r="G92" s="217"/>
      <c r="H92" s="229"/>
      <c r="I92" s="211"/>
      <c r="J92" s="212"/>
      <c r="K92" s="220"/>
      <c r="L92" s="220"/>
      <c r="M92" s="220"/>
      <c r="N92" s="252"/>
    </row>
    <row r="93" spans="1:14" s="75" customFormat="1" ht="18.75" customHeight="1" x14ac:dyDescent="0.35">
      <c r="A93" s="473"/>
      <c r="B93" s="57">
        <v>161</v>
      </c>
      <c r="C93" s="35" t="s">
        <v>60</v>
      </c>
      <c r="D93" s="35" t="s">
        <v>237</v>
      </c>
      <c r="E93" s="40"/>
      <c r="F93" s="160" t="s">
        <v>295</v>
      </c>
      <c r="G93" s="216" t="s">
        <v>73</v>
      </c>
      <c r="H93" s="210" t="s">
        <v>564</v>
      </c>
      <c r="I93" s="68" t="s">
        <v>6</v>
      </c>
      <c r="J93" s="95">
        <v>1</v>
      </c>
      <c r="K93" s="312">
        <v>0</v>
      </c>
      <c r="L93" s="220">
        <f>K93*J93</f>
        <v>0</v>
      </c>
      <c r="M93" s="312">
        <v>0</v>
      </c>
      <c r="N93" s="219" t="s">
        <v>570</v>
      </c>
    </row>
    <row r="94" spans="1:14" s="75" customFormat="1" ht="18.5" x14ac:dyDescent="0.35">
      <c r="A94" s="473"/>
      <c r="B94" s="249"/>
      <c r="C94" s="250"/>
      <c r="D94" s="250"/>
      <c r="E94" s="251"/>
      <c r="F94" s="217"/>
      <c r="G94" s="216"/>
      <c r="H94" s="210" t="s">
        <v>62</v>
      </c>
      <c r="I94" s="68" t="s">
        <v>6</v>
      </c>
      <c r="J94" s="95">
        <v>1</v>
      </c>
      <c r="K94" s="312">
        <v>0</v>
      </c>
      <c r="L94" s="220">
        <f>K94*J94</f>
        <v>0</v>
      </c>
      <c r="M94" s="312">
        <v>0</v>
      </c>
      <c r="N94" s="219" t="s">
        <v>550</v>
      </c>
    </row>
    <row r="95" spans="1:14" s="75" customFormat="1" ht="72.5" x14ac:dyDescent="0.35">
      <c r="A95" s="473"/>
      <c r="B95" s="249"/>
      <c r="C95" s="250"/>
      <c r="D95" s="250"/>
      <c r="E95" s="251"/>
      <c r="F95" s="217"/>
      <c r="G95" s="216"/>
      <c r="H95" s="210" t="s">
        <v>63</v>
      </c>
      <c r="I95" s="68" t="s">
        <v>6</v>
      </c>
      <c r="J95" s="95">
        <v>1</v>
      </c>
      <c r="K95" s="312">
        <v>0</v>
      </c>
      <c r="L95" s="220">
        <f>K95*J95</f>
        <v>0</v>
      </c>
      <c r="M95" s="312">
        <v>0</v>
      </c>
      <c r="N95" s="219" t="s">
        <v>573</v>
      </c>
    </row>
    <row r="96" spans="1:14" s="75" customFormat="1" ht="18.5" x14ac:dyDescent="0.35">
      <c r="A96" s="473"/>
      <c r="B96" s="249"/>
      <c r="C96" s="250"/>
      <c r="D96" s="250"/>
      <c r="E96" s="251"/>
      <c r="F96" s="217"/>
      <c r="G96" s="216"/>
      <c r="H96" s="210" t="s">
        <v>64</v>
      </c>
      <c r="I96" s="68" t="s">
        <v>6</v>
      </c>
      <c r="J96" s="95">
        <v>1</v>
      </c>
      <c r="K96" s="312">
        <v>0</v>
      </c>
      <c r="L96" s="220">
        <f>K96*J96</f>
        <v>0</v>
      </c>
      <c r="M96" s="312">
        <v>0</v>
      </c>
      <c r="N96" s="219" t="s">
        <v>571</v>
      </c>
    </row>
    <row r="97" spans="1:14" s="75" customFormat="1" x14ac:dyDescent="0.35">
      <c r="A97" s="473"/>
      <c r="B97" s="249"/>
      <c r="C97" s="251"/>
      <c r="D97" s="251"/>
      <c r="E97" s="251"/>
      <c r="F97" s="217"/>
      <c r="G97" s="217"/>
      <c r="H97" s="210"/>
      <c r="I97" s="68"/>
      <c r="J97" s="95"/>
      <c r="K97" s="69"/>
      <c r="L97" s="220"/>
      <c r="M97" s="220"/>
      <c r="N97" s="219"/>
    </row>
    <row r="98" spans="1:14" s="75" customFormat="1" x14ac:dyDescent="0.35">
      <c r="A98" s="473"/>
      <c r="B98" s="249"/>
      <c r="C98" s="251"/>
      <c r="D98" s="251"/>
      <c r="E98" s="251"/>
      <c r="F98" s="217"/>
      <c r="G98" s="217" t="s">
        <v>74</v>
      </c>
      <c r="H98" s="210" t="s">
        <v>77</v>
      </c>
      <c r="I98" s="68" t="s">
        <v>279</v>
      </c>
      <c r="J98" s="95">
        <v>2</v>
      </c>
      <c r="K98" s="312">
        <v>0</v>
      </c>
      <c r="L98" s="229"/>
      <c r="M98" s="220">
        <f>K98*J98</f>
        <v>0</v>
      </c>
      <c r="N98" s="219"/>
    </row>
    <row r="99" spans="1:14" s="75" customFormat="1" x14ac:dyDescent="0.35">
      <c r="A99" s="473"/>
      <c r="B99" s="249"/>
      <c r="C99" s="251"/>
      <c r="D99" s="251"/>
      <c r="E99" s="251"/>
      <c r="F99" s="217"/>
      <c r="G99" s="217"/>
      <c r="H99" s="210" t="s">
        <v>78</v>
      </c>
      <c r="I99" s="68" t="s">
        <v>279</v>
      </c>
      <c r="J99" s="95">
        <v>2</v>
      </c>
      <c r="K99" s="312">
        <v>0</v>
      </c>
      <c r="L99" s="229"/>
      <c r="M99" s="220">
        <f>K99*J99</f>
        <v>0</v>
      </c>
      <c r="N99" s="219"/>
    </row>
    <row r="100" spans="1:14" s="75" customFormat="1" x14ac:dyDescent="0.35">
      <c r="A100" s="473"/>
      <c r="B100" s="249"/>
      <c r="C100" s="251"/>
      <c r="D100" s="251"/>
      <c r="E100" s="251"/>
      <c r="F100" s="217"/>
      <c r="G100" s="217"/>
      <c r="H100" s="239" t="s">
        <v>79</v>
      </c>
      <c r="I100" s="211" t="s">
        <v>279</v>
      </c>
      <c r="J100" s="212">
        <v>1</v>
      </c>
      <c r="K100" s="312">
        <v>0</v>
      </c>
      <c r="L100" s="229"/>
      <c r="M100" s="220">
        <f>K100*J100</f>
        <v>0</v>
      </c>
      <c r="N100" s="219"/>
    </row>
    <row r="101" spans="1:14" s="75" customFormat="1" x14ac:dyDescent="0.35">
      <c r="A101" s="473"/>
      <c r="B101" s="249"/>
      <c r="C101" s="251"/>
      <c r="D101" s="251"/>
      <c r="E101" s="251"/>
      <c r="F101" s="217"/>
      <c r="G101" s="217"/>
      <c r="H101" s="239"/>
      <c r="I101" s="211"/>
      <c r="J101" s="212"/>
      <c r="K101" s="220"/>
      <c r="L101" s="220"/>
      <c r="M101" s="220"/>
      <c r="N101" s="219"/>
    </row>
    <row r="102" spans="1:14" s="75" customFormat="1" ht="15.5" x14ac:dyDescent="0.35">
      <c r="A102" s="473"/>
      <c r="B102" s="260"/>
      <c r="C102" s="261"/>
      <c r="D102" s="261"/>
      <c r="E102" s="261"/>
      <c r="F102" s="265"/>
      <c r="G102" s="279"/>
      <c r="H102" s="280" t="s">
        <v>459</v>
      </c>
      <c r="I102" s="281"/>
      <c r="J102" s="282"/>
      <c r="K102" s="283"/>
      <c r="L102" s="137">
        <f>SUM(L93:L100)</f>
        <v>0</v>
      </c>
      <c r="M102" s="137">
        <f>SUM(M93:M100)</f>
        <v>0</v>
      </c>
      <c r="N102" s="219"/>
    </row>
    <row r="103" spans="1:14" s="75" customFormat="1" x14ac:dyDescent="0.35">
      <c r="A103" s="473"/>
      <c r="B103" s="249"/>
      <c r="C103" s="251"/>
      <c r="D103" s="251"/>
      <c r="E103" s="251"/>
      <c r="F103" s="263"/>
      <c r="G103" s="263"/>
      <c r="H103" s="240"/>
      <c r="I103" s="240"/>
      <c r="J103" s="267"/>
      <c r="K103" s="240"/>
      <c r="L103" s="240"/>
      <c r="M103" s="240"/>
      <c r="N103" s="219"/>
    </row>
    <row r="104" spans="1:14" s="75" customFormat="1" ht="43.5" x14ac:dyDescent="0.35">
      <c r="A104" s="473"/>
      <c r="B104" s="57">
        <v>162</v>
      </c>
      <c r="C104" s="35" t="s">
        <v>60</v>
      </c>
      <c r="D104" s="35" t="s">
        <v>238</v>
      </c>
      <c r="E104" s="40"/>
      <c r="F104" s="160" t="s">
        <v>296</v>
      </c>
      <c r="G104" s="216" t="s">
        <v>73</v>
      </c>
      <c r="H104" s="239" t="s">
        <v>516</v>
      </c>
      <c r="I104" s="211" t="s">
        <v>6</v>
      </c>
      <c r="J104" s="212">
        <v>1</v>
      </c>
      <c r="K104" s="312">
        <v>0</v>
      </c>
      <c r="L104" s="220">
        <f>K104*J104</f>
        <v>0</v>
      </c>
      <c r="M104" s="312">
        <v>0</v>
      </c>
      <c r="N104" s="219" t="s">
        <v>541</v>
      </c>
    </row>
    <row r="105" spans="1:14" s="75" customFormat="1" ht="18.5" x14ac:dyDescent="0.35">
      <c r="A105" s="473"/>
      <c r="B105" s="249"/>
      <c r="C105" s="259"/>
      <c r="D105" s="259"/>
      <c r="E105" s="251"/>
      <c r="F105" s="241"/>
      <c r="G105" s="216"/>
      <c r="H105" s="239" t="s">
        <v>62</v>
      </c>
      <c r="I105" s="211" t="s">
        <v>6</v>
      </c>
      <c r="J105" s="212">
        <v>1</v>
      </c>
      <c r="K105" s="312">
        <v>0</v>
      </c>
      <c r="L105" s="220">
        <f>K105*J105</f>
        <v>0</v>
      </c>
      <c r="M105" s="312">
        <v>0</v>
      </c>
      <c r="N105" s="219" t="s">
        <v>550</v>
      </c>
    </row>
    <row r="106" spans="1:14" s="75" customFormat="1" ht="72.5" x14ac:dyDescent="0.35">
      <c r="A106" s="473"/>
      <c r="B106" s="249"/>
      <c r="C106" s="259"/>
      <c r="D106" s="259"/>
      <c r="E106" s="251"/>
      <c r="F106" s="241"/>
      <c r="G106" s="216"/>
      <c r="H106" s="239" t="s">
        <v>586</v>
      </c>
      <c r="I106" s="211" t="s">
        <v>6</v>
      </c>
      <c r="J106" s="212">
        <v>2</v>
      </c>
      <c r="K106" s="312">
        <v>0</v>
      </c>
      <c r="L106" s="220">
        <f>K106*J106</f>
        <v>0</v>
      </c>
      <c r="M106" s="312">
        <v>0</v>
      </c>
      <c r="N106" s="219" t="s">
        <v>574</v>
      </c>
    </row>
    <row r="107" spans="1:14" s="75" customFormat="1" ht="18.5" x14ac:dyDescent="0.35">
      <c r="A107" s="473"/>
      <c r="B107" s="249"/>
      <c r="C107" s="259"/>
      <c r="D107" s="259"/>
      <c r="E107" s="251"/>
      <c r="F107" s="241"/>
      <c r="G107" s="216"/>
      <c r="H107" s="239" t="s">
        <v>65</v>
      </c>
      <c r="I107" s="211" t="s">
        <v>6</v>
      </c>
      <c r="J107" s="212">
        <v>1</v>
      </c>
      <c r="K107" s="312">
        <v>0</v>
      </c>
      <c r="L107" s="220">
        <f>K107*J107</f>
        <v>0</v>
      </c>
      <c r="M107" s="312">
        <v>0</v>
      </c>
      <c r="N107" s="219" t="s">
        <v>565</v>
      </c>
    </row>
    <row r="108" spans="1:14" s="75" customFormat="1" ht="18.5" x14ac:dyDescent="0.35">
      <c r="A108" s="473"/>
      <c r="B108" s="249"/>
      <c r="C108" s="259"/>
      <c r="D108" s="259"/>
      <c r="E108" s="251"/>
      <c r="F108" s="241"/>
      <c r="G108" s="216"/>
      <c r="H108" s="239"/>
      <c r="I108" s="211"/>
      <c r="J108" s="212"/>
      <c r="K108" s="220"/>
      <c r="L108" s="220"/>
      <c r="M108" s="220"/>
      <c r="N108" s="219"/>
    </row>
    <row r="109" spans="1:14" s="75" customFormat="1" x14ac:dyDescent="0.35">
      <c r="A109" s="473"/>
      <c r="B109" s="249"/>
      <c r="C109" s="251"/>
      <c r="D109" s="251"/>
      <c r="E109" s="251"/>
      <c r="F109" s="217"/>
      <c r="G109" s="217" t="s">
        <v>74</v>
      </c>
      <c r="H109" s="239" t="s">
        <v>385</v>
      </c>
      <c r="I109" s="211" t="s">
        <v>279</v>
      </c>
      <c r="J109" s="212">
        <v>2</v>
      </c>
      <c r="K109" s="312">
        <v>0</v>
      </c>
      <c r="L109" s="229"/>
      <c r="M109" s="220">
        <f>K109*J109</f>
        <v>0</v>
      </c>
      <c r="N109" s="219"/>
    </row>
    <row r="110" spans="1:14" s="75" customFormat="1" x14ac:dyDescent="0.35">
      <c r="A110" s="473"/>
      <c r="B110" s="249"/>
      <c r="C110" s="251"/>
      <c r="D110" s="251"/>
      <c r="E110" s="251"/>
      <c r="F110" s="217"/>
      <c r="G110" s="217"/>
      <c r="H110" s="239" t="s">
        <v>297</v>
      </c>
      <c r="I110" s="211" t="s">
        <v>279</v>
      </c>
      <c r="J110" s="212">
        <v>2</v>
      </c>
      <c r="K110" s="312">
        <v>0</v>
      </c>
      <c r="L110" s="229"/>
      <c r="M110" s="220">
        <f>K110*J110</f>
        <v>0</v>
      </c>
      <c r="N110" s="219"/>
    </row>
    <row r="111" spans="1:14" s="75" customFormat="1" x14ac:dyDescent="0.35">
      <c r="A111" s="473"/>
      <c r="B111" s="249"/>
      <c r="C111" s="251"/>
      <c r="D111" s="251"/>
      <c r="E111" s="251"/>
      <c r="F111" s="217"/>
      <c r="G111" s="217"/>
      <c r="H111" s="239" t="s">
        <v>82</v>
      </c>
      <c r="I111" s="211" t="s">
        <v>279</v>
      </c>
      <c r="J111" s="212">
        <v>1</v>
      </c>
      <c r="K111" s="312">
        <v>0</v>
      </c>
      <c r="L111" s="229"/>
      <c r="M111" s="220">
        <f>K111*J111</f>
        <v>0</v>
      </c>
      <c r="N111" s="219"/>
    </row>
    <row r="112" spans="1:14" s="75" customFormat="1" x14ac:dyDescent="0.35">
      <c r="A112" s="473"/>
      <c r="B112" s="249"/>
      <c r="C112" s="251"/>
      <c r="D112" s="251"/>
      <c r="E112" s="251"/>
      <c r="F112" s="217"/>
      <c r="G112" s="217"/>
      <c r="H112" s="239"/>
      <c r="I112" s="211"/>
      <c r="J112" s="212"/>
      <c r="K112" s="220"/>
      <c r="L112" s="220"/>
      <c r="M112" s="220"/>
      <c r="N112" s="219"/>
    </row>
    <row r="113" spans="1:14" s="75" customFormat="1" ht="15.5" x14ac:dyDescent="0.35">
      <c r="A113" s="473"/>
      <c r="B113" s="260"/>
      <c r="C113" s="261"/>
      <c r="D113" s="261"/>
      <c r="E113" s="261"/>
      <c r="F113" s="262"/>
      <c r="G113" s="255"/>
      <c r="H113" s="234" t="s">
        <v>459</v>
      </c>
      <c r="I113" s="256"/>
      <c r="J113" s="257"/>
      <c r="K113" s="258"/>
      <c r="L113" s="137">
        <f>SUM(L104:L111)</f>
        <v>0</v>
      </c>
      <c r="M113" s="137">
        <f>SUM(M104:M111)</f>
        <v>0</v>
      </c>
      <c r="N113" s="219"/>
    </row>
    <row r="114" spans="1:14" s="135" customFormat="1" x14ac:dyDescent="0.35">
      <c r="A114" s="473"/>
      <c r="B114" s="249"/>
      <c r="C114" s="251"/>
      <c r="D114" s="251"/>
      <c r="E114" s="251"/>
      <c r="F114" s="263"/>
      <c r="G114" s="263"/>
      <c r="H114" s="240"/>
      <c r="I114" s="211"/>
      <c r="J114" s="212"/>
      <c r="K114" s="220"/>
      <c r="L114" s="240"/>
      <c r="M114" s="240"/>
      <c r="N114" s="253"/>
    </row>
    <row r="115" spans="1:14" s="135" customFormat="1" ht="18.5" x14ac:dyDescent="0.35">
      <c r="A115" s="473"/>
      <c r="B115" s="57">
        <v>163</v>
      </c>
      <c r="C115" s="35" t="s">
        <v>60</v>
      </c>
      <c r="D115" s="35" t="s">
        <v>239</v>
      </c>
      <c r="E115" s="40"/>
      <c r="F115" s="160" t="s">
        <v>428</v>
      </c>
      <c r="G115" s="216" t="s">
        <v>73</v>
      </c>
      <c r="H115" s="239" t="s">
        <v>429</v>
      </c>
      <c r="I115" s="68" t="s">
        <v>6</v>
      </c>
      <c r="J115" s="95">
        <v>1</v>
      </c>
      <c r="K115" s="312">
        <v>0</v>
      </c>
      <c r="L115" s="220">
        <f>K115*J115</f>
        <v>0</v>
      </c>
      <c r="M115" s="312">
        <v>0</v>
      </c>
      <c r="N115" s="253"/>
    </row>
    <row r="116" spans="1:14" s="135" customFormat="1" x14ac:dyDescent="0.35">
      <c r="A116" s="473"/>
      <c r="B116" s="249"/>
      <c r="C116" s="251"/>
      <c r="D116" s="251"/>
      <c r="E116" s="251"/>
      <c r="F116" s="217"/>
      <c r="G116" s="217"/>
      <c r="H116" s="239"/>
      <c r="I116" s="211"/>
      <c r="J116" s="212"/>
      <c r="K116" s="220"/>
      <c r="L116" s="220"/>
      <c r="M116" s="220"/>
      <c r="N116" s="219"/>
    </row>
    <row r="117" spans="1:14" s="135" customFormat="1" ht="15.5" x14ac:dyDescent="0.35">
      <c r="A117" s="473"/>
      <c r="B117" s="260"/>
      <c r="C117" s="261"/>
      <c r="D117" s="261"/>
      <c r="E117" s="261"/>
      <c r="F117" s="262"/>
      <c r="G117" s="255"/>
      <c r="H117" s="234" t="s">
        <v>459</v>
      </c>
      <c r="I117" s="256"/>
      <c r="J117" s="257"/>
      <c r="K117" s="258"/>
      <c r="L117" s="137">
        <f>SUM(L115)</f>
        <v>0</v>
      </c>
      <c r="M117" s="137">
        <f>SUM(M115)</f>
        <v>0</v>
      </c>
      <c r="N117" s="219"/>
    </row>
    <row r="118" spans="1:14" s="75" customFormat="1" ht="15" thickBot="1" x14ac:dyDescent="0.4">
      <c r="A118" s="473"/>
      <c r="B118" s="249"/>
      <c r="C118" s="251"/>
      <c r="D118" s="251"/>
      <c r="E118" s="251"/>
      <c r="F118" s="251"/>
      <c r="G118" s="251"/>
      <c r="H118" s="229"/>
      <c r="I118" s="229"/>
      <c r="J118" s="268"/>
      <c r="K118" s="229"/>
      <c r="L118" s="229"/>
      <c r="M118" s="229"/>
      <c r="N118" s="219"/>
    </row>
    <row r="119" spans="1:14" s="75" customFormat="1" ht="19" thickBot="1" x14ac:dyDescent="0.4">
      <c r="A119" s="473"/>
      <c r="B119" s="453" t="s">
        <v>56</v>
      </c>
      <c r="C119" s="454"/>
      <c r="D119" s="454"/>
      <c r="E119" s="454"/>
      <c r="F119" s="454"/>
      <c r="G119" s="140"/>
      <c r="H119" s="140" t="s">
        <v>459</v>
      </c>
      <c r="I119" s="50"/>
      <c r="J119" s="94"/>
      <c r="K119" s="51"/>
      <c r="L119" s="52">
        <f>L113+L102+L117</f>
        <v>0</v>
      </c>
      <c r="M119" s="53">
        <f>M113+M102+M117</f>
        <v>0</v>
      </c>
      <c r="N119" s="219"/>
    </row>
    <row r="120" spans="1:14" s="75" customFormat="1" ht="19" thickBot="1" x14ac:dyDescent="0.4">
      <c r="A120" s="474"/>
      <c r="B120" s="293"/>
      <c r="C120" s="294"/>
      <c r="D120" s="294"/>
      <c r="E120" s="295"/>
      <c r="F120" s="296"/>
      <c r="G120" s="296"/>
      <c r="H120" s="297"/>
      <c r="I120" s="276"/>
      <c r="J120" s="298"/>
      <c r="K120" s="277"/>
      <c r="L120" s="278"/>
      <c r="M120" s="276"/>
      <c r="N120" s="254"/>
    </row>
    <row r="121" spans="1:14" ht="18.5" x14ac:dyDescent="0.35">
      <c r="A121" s="469" t="s">
        <v>71</v>
      </c>
      <c r="B121" s="56"/>
      <c r="C121" s="20"/>
      <c r="D121" s="20"/>
      <c r="E121" s="8"/>
      <c r="F121" s="13"/>
      <c r="G121" s="13"/>
      <c r="H121" s="141"/>
      <c r="I121" s="68"/>
      <c r="J121" s="95"/>
      <c r="K121" s="69"/>
      <c r="L121" s="69"/>
      <c r="M121" s="69"/>
      <c r="N121" s="252"/>
    </row>
    <row r="122" spans="1:14" ht="18.75" customHeight="1" x14ac:dyDescent="0.35">
      <c r="A122" s="470"/>
      <c r="B122" s="57">
        <v>164</v>
      </c>
      <c r="C122" s="35" t="s">
        <v>72</v>
      </c>
      <c r="D122" s="35" t="s">
        <v>237</v>
      </c>
      <c r="E122" s="40"/>
      <c r="F122" s="160" t="s">
        <v>241</v>
      </c>
      <c r="G122" s="161"/>
      <c r="H122" s="103" t="s">
        <v>587</v>
      </c>
      <c r="I122" s="68" t="s">
        <v>6</v>
      </c>
      <c r="J122" s="95">
        <v>6</v>
      </c>
      <c r="K122" s="312">
        <v>0</v>
      </c>
      <c r="L122" s="69">
        <f>K122*J122</f>
        <v>0</v>
      </c>
      <c r="M122" s="69"/>
      <c r="N122" s="219" t="s">
        <v>130</v>
      </c>
    </row>
    <row r="123" spans="1:14" x14ac:dyDescent="0.35">
      <c r="A123" s="470"/>
      <c r="B123" s="56"/>
      <c r="C123" s="8"/>
      <c r="D123" s="8"/>
      <c r="E123" s="8"/>
      <c r="F123" s="13"/>
      <c r="G123" s="13"/>
      <c r="H123" s="103"/>
      <c r="I123" s="68"/>
      <c r="J123" s="95"/>
      <c r="K123" s="69"/>
      <c r="L123" s="69"/>
      <c r="M123" s="69"/>
      <c r="N123" s="219"/>
    </row>
    <row r="124" spans="1:14" ht="15.5" x14ac:dyDescent="0.35">
      <c r="A124" s="470"/>
      <c r="B124" s="76"/>
      <c r="C124" s="77"/>
      <c r="D124" s="77"/>
      <c r="E124" s="77"/>
      <c r="F124" s="30"/>
      <c r="G124" s="31"/>
      <c r="H124" s="32" t="s">
        <v>459</v>
      </c>
      <c r="I124" s="33"/>
      <c r="J124" s="98"/>
      <c r="K124" s="34"/>
      <c r="L124" s="137">
        <f>SUM(L122:L122)</f>
        <v>0</v>
      </c>
      <c r="M124" s="137">
        <f>SUM(M122:M122)</f>
        <v>0</v>
      </c>
      <c r="N124" s="219"/>
    </row>
    <row r="125" spans="1:14" ht="15.5" x14ac:dyDescent="0.35">
      <c r="A125" s="470"/>
      <c r="B125" s="56"/>
      <c r="C125" s="8"/>
      <c r="D125" s="8"/>
      <c r="E125" s="8"/>
      <c r="F125" s="25"/>
      <c r="G125" s="64"/>
      <c r="H125" s="65"/>
      <c r="I125" s="66"/>
      <c r="J125" s="102"/>
      <c r="K125" s="283"/>
      <c r="L125" s="170"/>
      <c r="M125" s="170"/>
      <c r="N125" s="219"/>
    </row>
    <row r="126" spans="1:14" ht="18.5" x14ac:dyDescent="0.35">
      <c r="A126" s="470"/>
      <c r="B126" s="57">
        <v>165</v>
      </c>
      <c r="C126" s="35" t="s">
        <v>72</v>
      </c>
      <c r="D126" s="35" t="s">
        <v>238</v>
      </c>
      <c r="E126" s="40"/>
      <c r="F126" s="160" t="s">
        <v>242</v>
      </c>
      <c r="G126" s="161"/>
      <c r="H126" s="103" t="s">
        <v>453</v>
      </c>
      <c r="I126" s="68" t="s">
        <v>6</v>
      </c>
      <c r="J126" s="95">
        <v>1</v>
      </c>
      <c r="K126" s="220"/>
      <c r="L126" s="220"/>
      <c r="M126" s="220"/>
      <c r="N126" s="223" t="s">
        <v>697</v>
      </c>
    </row>
    <row r="127" spans="1:14" x14ac:dyDescent="0.35">
      <c r="A127" s="470"/>
      <c r="B127" s="56"/>
      <c r="C127" s="8"/>
      <c r="D127" s="8"/>
      <c r="E127" s="8"/>
      <c r="F127" s="13"/>
      <c r="G127" s="13"/>
      <c r="H127" s="103"/>
      <c r="I127" s="68"/>
      <c r="J127" s="95"/>
      <c r="K127" s="220"/>
      <c r="L127" s="220"/>
      <c r="M127" s="220"/>
      <c r="N127" s="219"/>
    </row>
    <row r="128" spans="1:14" ht="15.5" x14ac:dyDescent="0.35">
      <c r="A128" s="470"/>
      <c r="B128" s="76"/>
      <c r="C128" s="77"/>
      <c r="D128" s="77"/>
      <c r="E128" s="77"/>
      <c r="F128" s="30"/>
      <c r="G128" s="31"/>
      <c r="H128" s="32" t="s">
        <v>459</v>
      </c>
      <c r="I128" s="33"/>
      <c r="J128" s="98"/>
      <c r="K128" s="34"/>
      <c r="L128" s="137">
        <f>SUM(L126:L126)</f>
        <v>0</v>
      </c>
      <c r="M128" s="137">
        <f>SUM(M126:M126)</f>
        <v>0</v>
      </c>
      <c r="N128" s="219"/>
    </row>
    <row r="129" spans="1:14" ht="15.5" x14ac:dyDescent="0.35">
      <c r="A129" s="470"/>
      <c r="B129" s="56"/>
      <c r="C129" s="8"/>
      <c r="D129" s="8"/>
      <c r="E129" s="8"/>
      <c r="F129" s="25"/>
      <c r="G129" s="64"/>
      <c r="H129" s="65"/>
      <c r="I129" s="66"/>
      <c r="J129" s="102"/>
      <c r="K129" s="283"/>
      <c r="L129" s="170"/>
      <c r="M129" s="170"/>
      <c r="N129" s="219"/>
    </row>
    <row r="130" spans="1:14" ht="18.5" x14ac:dyDescent="0.35">
      <c r="A130" s="470"/>
      <c r="B130" s="57">
        <v>166</v>
      </c>
      <c r="C130" s="35" t="s">
        <v>72</v>
      </c>
      <c r="D130" s="35" t="s">
        <v>239</v>
      </c>
      <c r="E130" s="40"/>
      <c r="F130" s="160" t="s">
        <v>244</v>
      </c>
      <c r="G130" s="161"/>
      <c r="H130" s="103" t="s">
        <v>589</v>
      </c>
      <c r="I130" s="68" t="s">
        <v>6</v>
      </c>
      <c r="J130" s="95">
        <v>1</v>
      </c>
      <c r="K130" s="220"/>
      <c r="L130" s="220"/>
      <c r="M130" s="220"/>
      <c r="N130" s="223" t="s">
        <v>697</v>
      </c>
    </row>
    <row r="131" spans="1:14" x14ac:dyDescent="0.35">
      <c r="A131" s="470"/>
      <c r="B131" s="56"/>
      <c r="C131" s="8"/>
      <c r="D131" s="8"/>
      <c r="E131" s="8"/>
      <c r="F131" s="13"/>
      <c r="G131" s="13"/>
      <c r="H131" s="103"/>
      <c r="I131" s="68"/>
      <c r="J131" s="95"/>
      <c r="K131" s="220"/>
      <c r="L131" s="220"/>
      <c r="M131" s="220"/>
      <c r="N131" s="219"/>
    </row>
    <row r="132" spans="1:14" ht="15.5" x14ac:dyDescent="0.35">
      <c r="A132" s="470"/>
      <c r="B132" s="76"/>
      <c r="C132" s="77"/>
      <c r="D132" s="77"/>
      <c r="E132" s="77"/>
      <c r="F132" s="30"/>
      <c r="G132" s="31"/>
      <c r="H132" s="32" t="s">
        <v>459</v>
      </c>
      <c r="I132" s="33"/>
      <c r="J132" s="98"/>
      <c r="K132" s="34"/>
      <c r="L132" s="137">
        <f>SUM(L130:L130)</f>
        <v>0</v>
      </c>
      <c r="M132" s="137">
        <f>SUM(M130:M130)</f>
        <v>0</v>
      </c>
      <c r="N132" s="219"/>
    </row>
    <row r="133" spans="1:14" x14ac:dyDescent="0.35">
      <c r="A133" s="470"/>
      <c r="B133" s="56"/>
      <c r="C133" s="8"/>
      <c r="D133" s="8"/>
      <c r="E133" s="8"/>
      <c r="F133" s="28"/>
      <c r="G133" s="28"/>
      <c r="H133" s="29"/>
      <c r="I133" s="29"/>
      <c r="J133" s="97"/>
      <c r="K133" s="29"/>
      <c r="L133" s="29"/>
      <c r="M133" s="29"/>
      <c r="N133" s="219"/>
    </row>
    <row r="134" spans="1:14" ht="18.5" x14ac:dyDescent="0.35">
      <c r="A134" s="470"/>
      <c r="B134" s="57">
        <v>167</v>
      </c>
      <c r="C134" s="35" t="s">
        <v>72</v>
      </c>
      <c r="D134" s="35" t="s">
        <v>240</v>
      </c>
      <c r="E134" s="40"/>
      <c r="F134" s="160" t="s">
        <v>243</v>
      </c>
      <c r="G134" s="161"/>
      <c r="H134" s="103" t="s">
        <v>588</v>
      </c>
      <c r="I134" s="68" t="s">
        <v>6</v>
      </c>
      <c r="J134" s="95">
        <v>6</v>
      </c>
      <c r="K134" s="69"/>
      <c r="L134" s="69"/>
      <c r="M134" s="69"/>
      <c r="N134" s="223" t="s">
        <v>697</v>
      </c>
    </row>
    <row r="135" spans="1:14" x14ac:dyDescent="0.35">
      <c r="A135" s="470"/>
      <c r="B135" s="56"/>
      <c r="C135" s="8"/>
      <c r="D135" s="8"/>
      <c r="E135" s="8"/>
      <c r="F135" s="13"/>
      <c r="G135" s="13"/>
      <c r="H135" s="103"/>
      <c r="I135" s="68"/>
      <c r="J135" s="95"/>
      <c r="K135" s="69"/>
      <c r="L135" s="69"/>
      <c r="M135" s="69"/>
      <c r="N135" s="219"/>
    </row>
    <row r="136" spans="1:14" ht="15.5" x14ac:dyDescent="0.35">
      <c r="A136" s="470"/>
      <c r="B136" s="76"/>
      <c r="C136" s="77"/>
      <c r="D136" s="77"/>
      <c r="E136" s="77"/>
      <c r="F136" s="30"/>
      <c r="G136" s="31"/>
      <c r="H136" s="32" t="s">
        <v>459</v>
      </c>
      <c r="I136" s="33"/>
      <c r="J136" s="98"/>
      <c r="K136" s="34"/>
      <c r="L136" s="137">
        <f>SUM(L134:L134)</f>
        <v>0</v>
      </c>
      <c r="M136" s="137">
        <f>SUM(M134:M134)</f>
        <v>0</v>
      </c>
      <c r="N136" s="219"/>
    </row>
    <row r="137" spans="1:14" x14ac:dyDescent="0.35">
      <c r="A137" s="470"/>
      <c r="B137" s="56"/>
      <c r="C137" s="8"/>
      <c r="D137" s="8"/>
      <c r="E137" s="8"/>
      <c r="F137" s="28"/>
      <c r="G137" s="28"/>
      <c r="H137" s="29"/>
      <c r="I137" s="29"/>
      <c r="J137" s="97"/>
      <c r="K137" s="29"/>
      <c r="L137" s="29"/>
      <c r="M137" s="29"/>
      <c r="N137" s="219"/>
    </row>
    <row r="138" spans="1:14" ht="18.5" x14ac:dyDescent="0.35">
      <c r="A138" s="470"/>
      <c r="B138" s="57">
        <v>168</v>
      </c>
      <c r="C138" s="35" t="s">
        <v>72</v>
      </c>
      <c r="D138" s="35" t="s">
        <v>246</v>
      </c>
      <c r="E138" s="40"/>
      <c r="F138" s="160" t="s">
        <v>245</v>
      </c>
      <c r="G138" s="161"/>
      <c r="H138" s="103" t="s">
        <v>247</v>
      </c>
      <c r="I138" s="68" t="s">
        <v>6</v>
      </c>
      <c r="J138" s="95">
        <v>1</v>
      </c>
      <c r="K138" s="69"/>
      <c r="L138" s="69"/>
      <c r="M138" s="69"/>
      <c r="N138" s="223" t="s">
        <v>697</v>
      </c>
    </row>
    <row r="139" spans="1:14" x14ac:dyDescent="0.35">
      <c r="A139" s="470"/>
      <c r="B139" s="56"/>
      <c r="C139" s="8"/>
      <c r="D139" s="8"/>
      <c r="E139" s="8"/>
      <c r="F139" s="13"/>
      <c r="G139" s="13"/>
      <c r="H139" s="103"/>
      <c r="I139" s="68"/>
      <c r="J139" s="95"/>
      <c r="K139" s="69"/>
      <c r="L139" s="69"/>
      <c r="M139" s="69"/>
      <c r="N139" s="219"/>
    </row>
    <row r="140" spans="1:14" ht="15.5" x14ac:dyDescent="0.35">
      <c r="A140" s="470"/>
      <c r="B140" s="76"/>
      <c r="C140" s="77"/>
      <c r="D140" s="77"/>
      <c r="E140" s="77"/>
      <c r="F140" s="30"/>
      <c r="G140" s="31"/>
      <c r="H140" s="32" t="s">
        <v>459</v>
      </c>
      <c r="I140" s="33"/>
      <c r="J140" s="98"/>
      <c r="K140" s="34"/>
      <c r="L140" s="137">
        <f>SUM(L138:L138)</f>
        <v>0</v>
      </c>
      <c r="M140" s="137">
        <f>SUM(M138:M138)</f>
        <v>0</v>
      </c>
      <c r="N140" s="219"/>
    </row>
    <row r="141" spans="1:14" ht="15" thickBot="1" x14ac:dyDescent="0.4">
      <c r="A141" s="470"/>
      <c r="B141" s="56"/>
      <c r="C141" s="8"/>
      <c r="D141" s="8"/>
      <c r="E141" s="8"/>
      <c r="F141" s="8"/>
      <c r="G141" s="8"/>
      <c r="H141" s="141"/>
      <c r="I141" s="141"/>
      <c r="J141" s="162"/>
      <c r="K141" s="141"/>
      <c r="L141" s="141"/>
      <c r="M141" s="141"/>
      <c r="N141" s="148"/>
    </row>
    <row r="142" spans="1:14" ht="19" thickBot="1" x14ac:dyDescent="0.4">
      <c r="A142" s="470"/>
      <c r="B142" s="453" t="s">
        <v>57</v>
      </c>
      <c r="C142" s="454"/>
      <c r="D142" s="454"/>
      <c r="E142" s="454"/>
      <c r="F142" s="454"/>
      <c r="G142" s="140"/>
      <c r="H142" s="140" t="s">
        <v>459</v>
      </c>
      <c r="I142" s="50"/>
      <c r="J142" s="94"/>
      <c r="K142" s="51"/>
      <c r="L142" s="52">
        <f>L140+L136+L132+L128+L124</f>
        <v>0</v>
      </c>
      <c r="M142" s="53">
        <f>M136+M124+M140+M132+M128</f>
        <v>0</v>
      </c>
      <c r="N142" s="171"/>
    </row>
    <row r="143" spans="1:14" ht="19" thickBot="1" x14ac:dyDescent="0.4">
      <c r="A143" s="471"/>
      <c r="B143" s="58"/>
      <c r="C143" s="21"/>
      <c r="D143" s="21"/>
      <c r="E143" s="14"/>
      <c r="F143" s="15"/>
      <c r="G143" s="15"/>
      <c r="H143" s="16"/>
      <c r="I143" s="17"/>
      <c r="J143" s="96"/>
      <c r="K143" s="277"/>
      <c r="L143" s="278"/>
      <c r="M143" s="276"/>
      <c r="N143" s="149"/>
    </row>
    <row r="144" spans="1:14" x14ac:dyDescent="0.35">
      <c r="A144" s="78"/>
      <c r="J144" s="99"/>
    </row>
    <row r="145" spans="1:10" x14ac:dyDescent="0.35">
      <c r="A145" s="78"/>
      <c r="J145" s="99"/>
    </row>
    <row r="146" spans="1:10" x14ac:dyDescent="0.35">
      <c r="A146" s="78"/>
      <c r="J146" s="99"/>
    </row>
    <row r="147" spans="1:10" x14ac:dyDescent="0.35">
      <c r="A147" s="78"/>
      <c r="J147" s="99"/>
    </row>
    <row r="148" spans="1:10" x14ac:dyDescent="0.35">
      <c r="A148" s="78"/>
      <c r="J148" s="99"/>
    </row>
    <row r="149" spans="1:10" x14ac:dyDescent="0.35">
      <c r="A149" s="78"/>
      <c r="J149" s="99"/>
    </row>
    <row r="150" spans="1:10" x14ac:dyDescent="0.35">
      <c r="A150" s="78"/>
      <c r="J150" s="99"/>
    </row>
    <row r="151" spans="1:10" x14ac:dyDescent="0.35">
      <c r="A151" s="78"/>
      <c r="J151" s="99"/>
    </row>
    <row r="152" spans="1:10" x14ac:dyDescent="0.35">
      <c r="A152" s="78"/>
      <c r="J152" s="99"/>
    </row>
    <row r="153" spans="1:10" x14ac:dyDescent="0.35">
      <c r="A153" s="78"/>
      <c r="J153" s="99"/>
    </row>
    <row r="154" spans="1:10" x14ac:dyDescent="0.35">
      <c r="A154" s="78"/>
      <c r="J154" s="99"/>
    </row>
    <row r="155" spans="1:10" x14ac:dyDescent="0.35">
      <c r="A155" s="78"/>
      <c r="J155" s="99"/>
    </row>
    <row r="156" spans="1:10" x14ac:dyDescent="0.35">
      <c r="A156" s="78"/>
      <c r="J156" s="99"/>
    </row>
    <row r="157" spans="1:10" x14ac:dyDescent="0.35">
      <c r="A157" s="78"/>
      <c r="J157" s="99"/>
    </row>
    <row r="158" spans="1:10" x14ac:dyDescent="0.35">
      <c r="A158" s="78"/>
      <c r="J158" s="99"/>
    </row>
    <row r="159" spans="1:10" x14ac:dyDescent="0.35">
      <c r="A159" s="78"/>
      <c r="J159" s="99"/>
    </row>
    <row r="160" spans="1:10" x14ac:dyDescent="0.35">
      <c r="A160" s="78"/>
      <c r="J160" s="99"/>
    </row>
    <row r="161" spans="1:10" x14ac:dyDescent="0.35">
      <c r="A161" s="78"/>
      <c r="J161" s="99"/>
    </row>
    <row r="162" spans="1:10" x14ac:dyDescent="0.35">
      <c r="A162" s="78"/>
      <c r="J162" s="99"/>
    </row>
    <row r="163" spans="1:10" x14ac:dyDescent="0.35">
      <c r="A163" s="78"/>
      <c r="J163" s="99"/>
    </row>
    <row r="164" spans="1:10" x14ac:dyDescent="0.35">
      <c r="A164" s="78"/>
      <c r="J164" s="99"/>
    </row>
    <row r="165" spans="1:10" x14ac:dyDescent="0.35">
      <c r="A165" s="78"/>
      <c r="J165" s="99"/>
    </row>
    <row r="166" spans="1:10" x14ac:dyDescent="0.35">
      <c r="A166" s="78"/>
      <c r="J166" s="99"/>
    </row>
    <row r="167" spans="1:10" x14ac:dyDescent="0.35">
      <c r="A167" s="78"/>
      <c r="J167" s="99"/>
    </row>
    <row r="168" spans="1:10" x14ac:dyDescent="0.35">
      <c r="A168" s="78"/>
      <c r="J168" s="99"/>
    </row>
    <row r="169" spans="1:10" x14ac:dyDescent="0.35">
      <c r="A169" s="78"/>
      <c r="J169" s="99"/>
    </row>
    <row r="170" spans="1:10" x14ac:dyDescent="0.35">
      <c r="J170" s="99"/>
    </row>
    <row r="171" spans="1:10" x14ac:dyDescent="0.35">
      <c r="J171" s="99"/>
    </row>
    <row r="172" spans="1:10" x14ac:dyDescent="0.35">
      <c r="J172" s="99"/>
    </row>
    <row r="173" spans="1:10" x14ac:dyDescent="0.35">
      <c r="J173" s="99"/>
    </row>
    <row r="174" spans="1:10" x14ac:dyDescent="0.35">
      <c r="J174" s="99"/>
    </row>
    <row r="175" spans="1:10" x14ac:dyDescent="0.35">
      <c r="J175" s="99"/>
    </row>
    <row r="176" spans="1:10" x14ac:dyDescent="0.35">
      <c r="J176" s="99"/>
    </row>
    <row r="177" spans="10:10" x14ac:dyDescent="0.35">
      <c r="J177" s="99"/>
    </row>
    <row r="178" spans="10:10" x14ac:dyDescent="0.35">
      <c r="J178" s="99"/>
    </row>
    <row r="179" spans="10:10" x14ac:dyDescent="0.35">
      <c r="J179" s="99"/>
    </row>
    <row r="180" spans="10:10" x14ac:dyDescent="0.35">
      <c r="J180" s="99"/>
    </row>
    <row r="181" spans="10:10" x14ac:dyDescent="0.35">
      <c r="J181" s="99"/>
    </row>
    <row r="182" spans="10:10" x14ac:dyDescent="0.35">
      <c r="J182" s="99"/>
    </row>
    <row r="183" spans="10:10" x14ac:dyDescent="0.35">
      <c r="J183" s="99"/>
    </row>
    <row r="184" spans="10:10" x14ac:dyDescent="0.35">
      <c r="J184" s="99"/>
    </row>
    <row r="185" spans="10:10" x14ac:dyDescent="0.35">
      <c r="J185" s="99"/>
    </row>
    <row r="186" spans="10:10" x14ac:dyDescent="0.35">
      <c r="J186" s="99"/>
    </row>
    <row r="187" spans="10:10" x14ac:dyDescent="0.35">
      <c r="J187" s="99"/>
    </row>
    <row r="188" spans="10:10" x14ac:dyDescent="0.35">
      <c r="J188" s="99"/>
    </row>
    <row r="189" spans="10:10" x14ac:dyDescent="0.35">
      <c r="J189" s="99"/>
    </row>
    <row r="190" spans="10:10" x14ac:dyDescent="0.35">
      <c r="J190" s="99"/>
    </row>
    <row r="191" spans="10:10" x14ac:dyDescent="0.35">
      <c r="J191" s="99"/>
    </row>
    <row r="192" spans="10:10" x14ac:dyDescent="0.35">
      <c r="J192" s="99"/>
    </row>
    <row r="193" spans="10:10" x14ac:dyDescent="0.35">
      <c r="J193" s="99"/>
    </row>
    <row r="194" spans="10:10" x14ac:dyDescent="0.35">
      <c r="J194" s="99"/>
    </row>
    <row r="195" spans="10:10" x14ac:dyDescent="0.35">
      <c r="J195" s="99"/>
    </row>
    <row r="196" spans="10:10" x14ac:dyDescent="0.35">
      <c r="J196" s="99"/>
    </row>
    <row r="197" spans="10:10" x14ac:dyDescent="0.35">
      <c r="J197" s="99"/>
    </row>
    <row r="198" spans="10:10" x14ac:dyDescent="0.35">
      <c r="J198" s="99"/>
    </row>
    <row r="199" spans="10:10" x14ac:dyDescent="0.35">
      <c r="J199" s="99"/>
    </row>
    <row r="200" spans="10:10" x14ac:dyDescent="0.35">
      <c r="J200" s="99"/>
    </row>
    <row r="201" spans="10:10" x14ac:dyDescent="0.35">
      <c r="J201" s="99"/>
    </row>
    <row r="202" spans="10:10" x14ac:dyDescent="0.35">
      <c r="J202" s="99"/>
    </row>
    <row r="203" spans="10:10" x14ac:dyDescent="0.35">
      <c r="J203" s="99"/>
    </row>
    <row r="204" spans="10:10" x14ac:dyDescent="0.35">
      <c r="J204" s="99"/>
    </row>
    <row r="205" spans="10:10" x14ac:dyDescent="0.35">
      <c r="J205" s="99"/>
    </row>
    <row r="206" spans="10:10" x14ac:dyDescent="0.35">
      <c r="J206" s="99"/>
    </row>
    <row r="207" spans="10:10" x14ac:dyDescent="0.35">
      <c r="J207" s="99"/>
    </row>
    <row r="208" spans="10:10" x14ac:dyDescent="0.35">
      <c r="J208" s="99"/>
    </row>
    <row r="209" spans="10:10" x14ac:dyDescent="0.35">
      <c r="J209" s="99"/>
    </row>
    <row r="210" spans="10:10" x14ac:dyDescent="0.35">
      <c r="J210" s="99"/>
    </row>
    <row r="211" spans="10:10" x14ac:dyDescent="0.35">
      <c r="J211" s="99"/>
    </row>
    <row r="212" spans="10:10" x14ac:dyDescent="0.35">
      <c r="J212" s="99"/>
    </row>
    <row r="213" spans="10:10" x14ac:dyDescent="0.35">
      <c r="J213" s="99"/>
    </row>
    <row r="214" spans="10:10" x14ac:dyDescent="0.35">
      <c r="J214" s="99"/>
    </row>
    <row r="215" spans="10:10" x14ac:dyDescent="0.35">
      <c r="J215" s="99"/>
    </row>
    <row r="216" spans="10:10" x14ac:dyDescent="0.35">
      <c r="J216" s="99"/>
    </row>
    <row r="217" spans="10:10" x14ac:dyDescent="0.35">
      <c r="J217" s="99"/>
    </row>
    <row r="218" spans="10:10" x14ac:dyDescent="0.35">
      <c r="J218" s="99"/>
    </row>
    <row r="219" spans="10:10" x14ac:dyDescent="0.35">
      <c r="J219" s="99"/>
    </row>
    <row r="220" spans="10:10" x14ac:dyDescent="0.35">
      <c r="J220" s="99"/>
    </row>
    <row r="221" spans="10:10" x14ac:dyDescent="0.35">
      <c r="J221" s="99"/>
    </row>
    <row r="222" spans="10:10" x14ac:dyDescent="0.35">
      <c r="J222" s="99"/>
    </row>
    <row r="223" spans="10:10" x14ac:dyDescent="0.35">
      <c r="J223" s="99"/>
    </row>
    <row r="224" spans="10:10" x14ac:dyDescent="0.35">
      <c r="J224" s="99"/>
    </row>
    <row r="225" spans="10:10" x14ac:dyDescent="0.35">
      <c r="J225" s="99"/>
    </row>
    <row r="226" spans="10:10" x14ac:dyDescent="0.35">
      <c r="J226" s="99"/>
    </row>
    <row r="227" spans="10:10" x14ac:dyDescent="0.35">
      <c r="J227" s="99"/>
    </row>
    <row r="228" spans="10:10" x14ac:dyDescent="0.35">
      <c r="J228" s="99"/>
    </row>
    <row r="229" spans="10:10" x14ac:dyDescent="0.35">
      <c r="J229" s="99"/>
    </row>
    <row r="230" spans="10:10" x14ac:dyDescent="0.35">
      <c r="J230" s="99"/>
    </row>
    <row r="231" spans="10:10" x14ac:dyDescent="0.35">
      <c r="J231" s="99"/>
    </row>
    <row r="232" spans="10:10" x14ac:dyDescent="0.35">
      <c r="J232" s="99"/>
    </row>
    <row r="233" spans="10:10" x14ac:dyDescent="0.35">
      <c r="J233" s="99"/>
    </row>
    <row r="234" spans="10:10" x14ac:dyDescent="0.35">
      <c r="J234" s="99"/>
    </row>
    <row r="235" spans="10:10" x14ac:dyDescent="0.35">
      <c r="J235" s="99"/>
    </row>
    <row r="236" spans="10:10" x14ac:dyDescent="0.35">
      <c r="J236" s="99"/>
    </row>
    <row r="237" spans="10:10" x14ac:dyDescent="0.35">
      <c r="J237" s="99"/>
    </row>
    <row r="238" spans="10:10" x14ac:dyDescent="0.35">
      <c r="J238" s="99"/>
    </row>
    <row r="239" spans="10:10" x14ac:dyDescent="0.35">
      <c r="J239" s="99"/>
    </row>
    <row r="240" spans="10:10" x14ac:dyDescent="0.35">
      <c r="J240" s="99"/>
    </row>
    <row r="241" spans="10:10" x14ac:dyDescent="0.35">
      <c r="J241" s="99"/>
    </row>
    <row r="242" spans="10:10" x14ac:dyDescent="0.35">
      <c r="J242" s="99"/>
    </row>
    <row r="243" spans="10:10" x14ac:dyDescent="0.35">
      <c r="J243" s="99"/>
    </row>
    <row r="244" spans="10:10" x14ac:dyDescent="0.35">
      <c r="J244" s="99"/>
    </row>
    <row r="245" spans="10:10" x14ac:dyDescent="0.35">
      <c r="J245" s="99"/>
    </row>
    <row r="246" spans="10:10" x14ac:dyDescent="0.35">
      <c r="J246" s="99"/>
    </row>
    <row r="247" spans="10:10" x14ac:dyDescent="0.35">
      <c r="J247" s="99"/>
    </row>
    <row r="248" spans="10:10" x14ac:dyDescent="0.35">
      <c r="J248" s="99"/>
    </row>
    <row r="249" spans="10:10" x14ac:dyDescent="0.35">
      <c r="J249" s="99"/>
    </row>
    <row r="250" spans="10:10" x14ac:dyDescent="0.35">
      <c r="J250" s="99"/>
    </row>
    <row r="251" spans="10:10" x14ac:dyDescent="0.35">
      <c r="J251" s="99"/>
    </row>
    <row r="252" spans="10:10" x14ac:dyDescent="0.35">
      <c r="J252" s="99"/>
    </row>
    <row r="253" spans="10:10" x14ac:dyDescent="0.35">
      <c r="J253" s="99"/>
    </row>
    <row r="254" spans="10:10" x14ac:dyDescent="0.35">
      <c r="J254" s="99"/>
    </row>
    <row r="255" spans="10:10" x14ac:dyDescent="0.35">
      <c r="J255" s="99"/>
    </row>
    <row r="256" spans="10:10" x14ac:dyDescent="0.35">
      <c r="J256" s="99"/>
    </row>
    <row r="257" spans="10:10" x14ac:dyDescent="0.35">
      <c r="J257" s="99"/>
    </row>
    <row r="258" spans="10:10" x14ac:dyDescent="0.35">
      <c r="J258" s="99"/>
    </row>
    <row r="259" spans="10:10" x14ac:dyDescent="0.35">
      <c r="J259" s="99"/>
    </row>
    <row r="260" spans="10:10" x14ac:dyDescent="0.35">
      <c r="J260" s="99"/>
    </row>
    <row r="261" spans="10:10" x14ac:dyDescent="0.35">
      <c r="J261" s="99"/>
    </row>
    <row r="262" spans="10:10" x14ac:dyDescent="0.35">
      <c r="J262" s="99"/>
    </row>
    <row r="263" spans="10:10" x14ac:dyDescent="0.35">
      <c r="J263" s="99"/>
    </row>
    <row r="264" spans="10:10" x14ac:dyDescent="0.35">
      <c r="J264" s="99"/>
    </row>
    <row r="265" spans="10:10" x14ac:dyDescent="0.35">
      <c r="J265" s="99"/>
    </row>
    <row r="266" spans="10:10" x14ac:dyDescent="0.35">
      <c r="J266" s="99"/>
    </row>
    <row r="267" spans="10:10" x14ac:dyDescent="0.35">
      <c r="J267" s="99"/>
    </row>
    <row r="268" spans="10:10" x14ac:dyDescent="0.35">
      <c r="J268" s="99"/>
    </row>
    <row r="269" spans="10:10" x14ac:dyDescent="0.35">
      <c r="J269" s="99"/>
    </row>
    <row r="270" spans="10:10" x14ac:dyDescent="0.35">
      <c r="J270" s="99"/>
    </row>
    <row r="271" spans="10:10" x14ac:dyDescent="0.35">
      <c r="J271" s="99"/>
    </row>
    <row r="272" spans="10:10" x14ac:dyDescent="0.35">
      <c r="J272" s="99"/>
    </row>
    <row r="273" spans="10:10" x14ac:dyDescent="0.35">
      <c r="J273" s="99"/>
    </row>
    <row r="274" spans="10:10" x14ac:dyDescent="0.35">
      <c r="J274" s="99"/>
    </row>
    <row r="275" spans="10:10" x14ac:dyDescent="0.35">
      <c r="J275" s="99"/>
    </row>
    <row r="276" spans="10:10" x14ac:dyDescent="0.35">
      <c r="J276" s="99"/>
    </row>
    <row r="277" spans="10:10" x14ac:dyDescent="0.35">
      <c r="J277" s="99"/>
    </row>
    <row r="278" spans="10:10" x14ac:dyDescent="0.35">
      <c r="J278" s="99"/>
    </row>
    <row r="279" spans="10:10" x14ac:dyDescent="0.35">
      <c r="J279" s="99"/>
    </row>
    <row r="280" spans="10:10" x14ac:dyDescent="0.35">
      <c r="J280" s="99"/>
    </row>
    <row r="281" spans="10:10" x14ac:dyDescent="0.35">
      <c r="J281" s="99"/>
    </row>
    <row r="282" spans="10:10" x14ac:dyDescent="0.35">
      <c r="J282" s="99"/>
    </row>
    <row r="283" spans="10:10" x14ac:dyDescent="0.35">
      <c r="J283" s="99"/>
    </row>
    <row r="284" spans="10:10" x14ac:dyDescent="0.35">
      <c r="J284" s="99"/>
    </row>
    <row r="285" spans="10:10" x14ac:dyDescent="0.35">
      <c r="J285" s="99"/>
    </row>
    <row r="286" spans="10:10" x14ac:dyDescent="0.35">
      <c r="J286" s="99"/>
    </row>
    <row r="287" spans="10:10" x14ac:dyDescent="0.35">
      <c r="J287" s="99"/>
    </row>
    <row r="288" spans="10:10" x14ac:dyDescent="0.35">
      <c r="J288" s="99"/>
    </row>
    <row r="289" spans="10:10" x14ac:dyDescent="0.35">
      <c r="J289" s="99"/>
    </row>
    <row r="290" spans="10:10" x14ac:dyDescent="0.35">
      <c r="J290" s="99"/>
    </row>
    <row r="291" spans="10:10" x14ac:dyDescent="0.35">
      <c r="J291" s="99"/>
    </row>
    <row r="292" spans="10:10" x14ac:dyDescent="0.35">
      <c r="J292" s="99"/>
    </row>
    <row r="293" spans="10:10" x14ac:dyDescent="0.35">
      <c r="J293" s="99"/>
    </row>
    <row r="294" spans="10:10" x14ac:dyDescent="0.35">
      <c r="J294" s="99"/>
    </row>
    <row r="295" spans="10:10" x14ac:dyDescent="0.35">
      <c r="J295" s="99"/>
    </row>
    <row r="296" spans="10:10" x14ac:dyDescent="0.35">
      <c r="J296" s="99"/>
    </row>
    <row r="297" spans="10:10" x14ac:dyDescent="0.35">
      <c r="J297" s="99"/>
    </row>
    <row r="298" spans="10:10" x14ac:dyDescent="0.35">
      <c r="J298" s="99"/>
    </row>
    <row r="299" spans="10:10" x14ac:dyDescent="0.35">
      <c r="J299" s="99"/>
    </row>
  </sheetData>
  <sheetProtection sheet="1" objects="1" scenarios="1"/>
  <mergeCells count="22">
    <mergeCell ref="A121:A143"/>
    <mergeCell ref="B142:F142"/>
    <mergeCell ref="A23:A65"/>
    <mergeCell ref="A16:A22"/>
    <mergeCell ref="A66:A76"/>
    <mergeCell ref="B75:F75"/>
    <mergeCell ref="A77:A91"/>
    <mergeCell ref="B90:F90"/>
    <mergeCell ref="A92:A120"/>
    <mergeCell ref="B119:F119"/>
    <mergeCell ref="A10:G10"/>
    <mergeCell ref="F14:G14"/>
    <mergeCell ref="B21:F21"/>
    <mergeCell ref="B64:F64"/>
    <mergeCell ref="A2:N2"/>
    <mergeCell ref="A5:G5"/>
    <mergeCell ref="A6:G6"/>
    <mergeCell ref="A7:G7"/>
    <mergeCell ref="A8:G8"/>
    <mergeCell ref="A9:G9"/>
    <mergeCell ref="C14:D14"/>
    <mergeCell ref="A11:K11"/>
  </mergeCells>
  <pageMargins left="0.23622047244094491" right="0.23622047244094491" top="0.12" bottom="0.21" header="0.12" footer="0.1"/>
  <pageSetup paperSize="9" scale="43" firstPageNumber="23" fitToHeight="0" orientation="landscape" useFirstPageNumber="1" horizontalDpi="1200" verticalDpi="1200" r:id="rId1"/>
  <headerFooter>
    <oddFooter>&amp;C&amp;P/43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N293"/>
  <sheetViews>
    <sheetView view="pageLayout" topLeftCell="A85" zoomScale="40" zoomScaleNormal="70" zoomScalePageLayoutView="40" workbookViewId="0">
      <selection activeCell="N110" sqref="N110"/>
    </sheetView>
  </sheetViews>
  <sheetFormatPr defaultColWidth="9.1796875" defaultRowHeight="14.5" x14ac:dyDescent="0.35"/>
  <cols>
    <col min="1" max="1" width="5" style="2" customWidth="1"/>
    <col min="2" max="2" width="5.7265625" style="54" customWidth="1"/>
    <col min="3" max="3" width="5.81640625" style="6" customWidth="1"/>
    <col min="4" max="4" width="7" style="6" customWidth="1"/>
    <col min="5" max="5" width="3.7265625" style="6" customWidth="1"/>
    <col min="6" max="6" width="50.7265625" style="6" customWidth="1"/>
    <col min="7" max="7" width="20.26953125" style="6" customWidth="1"/>
    <col min="8" max="8" width="55.7265625" style="2" customWidth="1"/>
    <col min="9" max="11" width="13.7265625" style="2" customWidth="1"/>
    <col min="12" max="13" width="25.7265625" style="2" customWidth="1"/>
    <col min="14" max="14" width="85.7265625" style="2" customWidth="1"/>
    <col min="15" max="15" width="13.7265625" style="2" customWidth="1"/>
    <col min="16" max="16384" width="9.1796875" style="2"/>
  </cols>
  <sheetData>
    <row r="2" spans="1:14" s="151" customFormat="1" ht="35.15" customHeight="1" x14ac:dyDescent="0.35">
      <c r="A2" s="467" t="s">
        <v>753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</row>
    <row r="3" spans="1:14" s="151" customFormat="1" ht="10" customHeight="1" thickBot="1" x14ac:dyDescent="0.4">
      <c r="A3" s="264"/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156"/>
      <c r="M3" s="156"/>
      <c r="N3" s="156"/>
    </row>
    <row r="4" spans="1:14" ht="26.5" thickBot="1" x14ac:dyDescent="0.4">
      <c r="A4" s="242"/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153" t="s">
        <v>7</v>
      </c>
      <c r="M4" s="153" t="s">
        <v>8</v>
      </c>
      <c r="N4" s="152"/>
    </row>
    <row r="5" spans="1:14" ht="18.5" x14ac:dyDescent="0.35">
      <c r="A5" s="457" t="s">
        <v>55</v>
      </c>
      <c r="B5" s="458"/>
      <c r="C5" s="458"/>
      <c r="D5" s="458"/>
      <c r="E5" s="458"/>
      <c r="F5" s="458"/>
      <c r="G5" s="458"/>
      <c r="H5" s="243"/>
      <c r="I5" s="243"/>
      <c r="J5" s="243"/>
      <c r="K5" s="243"/>
      <c r="L5" s="154">
        <f>L27</f>
        <v>0</v>
      </c>
      <c r="M5" s="154">
        <f>M27</f>
        <v>0</v>
      </c>
      <c r="N5" s="152"/>
    </row>
    <row r="6" spans="1:14" ht="18.5" x14ac:dyDescent="0.35">
      <c r="A6" s="457" t="s">
        <v>37</v>
      </c>
      <c r="B6" s="458"/>
      <c r="C6" s="458"/>
      <c r="D6" s="458"/>
      <c r="E6" s="458"/>
      <c r="F6" s="458"/>
      <c r="G6" s="458"/>
      <c r="H6" s="243"/>
      <c r="I6" s="243"/>
      <c r="J6" s="243"/>
      <c r="K6" s="243"/>
      <c r="L6" s="154">
        <f>L91</f>
        <v>0</v>
      </c>
      <c r="M6" s="154">
        <f>M91</f>
        <v>0</v>
      </c>
      <c r="N6" s="152"/>
    </row>
    <row r="7" spans="1:14" ht="18.5" x14ac:dyDescent="0.35">
      <c r="A7" s="457" t="s">
        <v>43</v>
      </c>
      <c r="B7" s="458"/>
      <c r="C7" s="458"/>
      <c r="D7" s="458"/>
      <c r="E7" s="458"/>
      <c r="F7" s="458"/>
      <c r="G7" s="458"/>
      <c r="H7" s="243"/>
      <c r="I7" s="243"/>
      <c r="J7" s="243"/>
      <c r="K7" s="243"/>
      <c r="L7" s="154">
        <f>L114</f>
        <v>0</v>
      </c>
      <c r="M7" s="154">
        <f>M114</f>
        <v>0</v>
      </c>
      <c r="N7" s="152"/>
    </row>
    <row r="8" spans="1:14" ht="18.5" x14ac:dyDescent="0.35">
      <c r="A8" s="457" t="s">
        <v>45</v>
      </c>
      <c r="B8" s="458"/>
      <c r="C8" s="458"/>
      <c r="D8" s="458"/>
      <c r="E8" s="458"/>
      <c r="F8" s="458"/>
      <c r="G8" s="458"/>
      <c r="H8" s="243"/>
      <c r="I8" s="243"/>
      <c r="J8" s="243"/>
      <c r="K8" s="243"/>
      <c r="L8" s="154">
        <f>L153</f>
        <v>0</v>
      </c>
      <c r="M8" s="154">
        <f>M153</f>
        <v>0</v>
      </c>
      <c r="N8" s="152"/>
    </row>
    <row r="9" spans="1:14" ht="18.5" x14ac:dyDescent="0.35">
      <c r="A9" s="457" t="s">
        <v>56</v>
      </c>
      <c r="B9" s="458"/>
      <c r="C9" s="458"/>
      <c r="D9" s="458"/>
      <c r="E9" s="458"/>
      <c r="F9" s="458"/>
      <c r="G9" s="458"/>
      <c r="H9" s="243"/>
      <c r="I9" s="243"/>
      <c r="J9" s="243"/>
      <c r="K9" s="243"/>
      <c r="L9" s="154">
        <f>L204</f>
        <v>0</v>
      </c>
      <c r="M9" s="154">
        <f>M204</f>
        <v>0</v>
      </c>
      <c r="N9" s="152"/>
    </row>
    <row r="10" spans="1:14" ht="19" thickBot="1" x14ac:dyDescent="0.4">
      <c r="A10" s="457" t="s">
        <v>57</v>
      </c>
      <c r="B10" s="458"/>
      <c r="C10" s="458"/>
      <c r="D10" s="458"/>
      <c r="E10" s="458"/>
      <c r="F10" s="458"/>
      <c r="G10" s="458"/>
      <c r="H10" s="243"/>
      <c r="I10" s="243"/>
      <c r="J10" s="243"/>
      <c r="K10" s="243"/>
      <c r="L10" s="154">
        <f>L216</f>
        <v>0</v>
      </c>
      <c r="M10" s="154">
        <f>M216</f>
        <v>0</v>
      </c>
      <c r="N10" s="152"/>
    </row>
    <row r="11" spans="1:14" ht="26.5" thickBot="1" x14ac:dyDescent="0.4">
      <c r="A11" s="465" t="s">
        <v>467</v>
      </c>
      <c r="B11" s="458"/>
      <c r="C11" s="458"/>
      <c r="D11" s="458"/>
      <c r="E11" s="458"/>
      <c r="F11" s="458"/>
      <c r="G11" s="458"/>
      <c r="H11" s="458"/>
      <c r="I11" s="458"/>
      <c r="J11" s="458"/>
      <c r="K11" s="466"/>
      <c r="L11" s="155">
        <f>SUM(L5:L10)</f>
        <v>0</v>
      </c>
      <c r="M11" s="155">
        <f>SUM(M5:M10)</f>
        <v>0</v>
      </c>
      <c r="N11" s="152"/>
    </row>
    <row r="12" spans="1:14" ht="26" x14ac:dyDescent="0.35">
      <c r="A12" s="246"/>
      <c r="B12" s="247"/>
      <c r="C12" s="248"/>
      <c r="D12" s="248"/>
      <c r="E12" s="248"/>
      <c r="F12" s="248"/>
      <c r="G12" s="248"/>
      <c r="H12" s="248"/>
      <c r="I12" s="248"/>
      <c r="J12" s="248"/>
      <c r="K12" s="248"/>
    </row>
    <row r="13" spans="1:14" ht="19" thickBot="1" x14ac:dyDescent="0.4">
      <c r="C13" s="19"/>
      <c r="D13" s="19"/>
    </row>
    <row r="14" spans="1:14" s="1" customFormat="1" ht="30.75" customHeight="1" thickBot="1" x14ac:dyDescent="0.4">
      <c r="A14" s="27" t="s">
        <v>25</v>
      </c>
      <c r="B14" s="27" t="s">
        <v>26</v>
      </c>
      <c r="C14" s="464" t="s">
        <v>27</v>
      </c>
      <c r="D14" s="460"/>
      <c r="E14" s="5"/>
      <c r="F14" s="459" t="s">
        <v>11</v>
      </c>
      <c r="G14" s="460"/>
      <c r="H14" s="4" t="s">
        <v>48</v>
      </c>
      <c r="I14" s="4" t="s">
        <v>0</v>
      </c>
      <c r="J14" s="4" t="s">
        <v>1</v>
      </c>
      <c r="K14" s="4" t="s">
        <v>2</v>
      </c>
      <c r="L14" s="4" t="s">
        <v>7</v>
      </c>
      <c r="M14" s="4" t="s">
        <v>8</v>
      </c>
      <c r="N14" s="4" t="s">
        <v>3</v>
      </c>
    </row>
    <row r="15" spans="1:14" s="204" customFormat="1" ht="15" customHeight="1" thickBot="1" x14ac:dyDescent="0.4">
      <c r="A15" s="142"/>
      <c r="B15" s="143"/>
      <c r="C15" s="144"/>
      <c r="D15" s="144"/>
      <c r="E15" s="42"/>
      <c r="F15" s="145"/>
      <c r="G15" s="145"/>
      <c r="H15" s="145"/>
      <c r="I15" s="145"/>
      <c r="J15" s="145"/>
      <c r="K15" s="145"/>
      <c r="L15" s="145"/>
      <c r="M15" s="145"/>
      <c r="N15" s="145"/>
    </row>
    <row r="16" spans="1:14" ht="18.5" x14ac:dyDescent="0.35">
      <c r="A16" s="476" t="s">
        <v>41</v>
      </c>
      <c r="B16" s="55"/>
      <c r="C16" s="45"/>
      <c r="D16" s="45"/>
      <c r="E16" s="46"/>
      <c r="F16" s="47"/>
      <c r="G16" s="47"/>
      <c r="H16" s="44"/>
      <c r="I16" s="48"/>
      <c r="J16" s="92"/>
      <c r="K16" s="49"/>
      <c r="L16" s="49"/>
      <c r="M16" s="49"/>
      <c r="N16" s="146"/>
    </row>
    <row r="17" spans="1:14" ht="21" customHeight="1" x14ac:dyDescent="0.35">
      <c r="A17" s="462"/>
      <c r="B17" s="57">
        <v>169</v>
      </c>
      <c r="C17" s="35" t="s">
        <v>9</v>
      </c>
      <c r="D17" s="35" t="s">
        <v>10</v>
      </c>
      <c r="E17" s="36"/>
      <c r="F17" s="37" t="s">
        <v>22</v>
      </c>
      <c r="G17" s="10"/>
      <c r="H17" s="103" t="s">
        <v>391</v>
      </c>
      <c r="I17" s="68" t="s">
        <v>4</v>
      </c>
      <c r="J17" s="95">
        <f>60+30*3</f>
        <v>150</v>
      </c>
      <c r="K17" s="312">
        <v>0</v>
      </c>
      <c r="L17" s="141"/>
      <c r="M17" s="316">
        <f>K17*J17</f>
        <v>0</v>
      </c>
      <c r="N17" s="147"/>
    </row>
    <row r="18" spans="1:14" ht="21" customHeight="1" x14ac:dyDescent="0.35">
      <c r="A18" s="462"/>
      <c r="B18" s="56"/>
      <c r="C18" s="18"/>
      <c r="D18" s="18"/>
      <c r="E18" s="9"/>
      <c r="F18" s="25"/>
      <c r="G18" s="11"/>
      <c r="H18" s="103" t="s">
        <v>392</v>
      </c>
      <c r="I18" s="68" t="s">
        <v>4</v>
      </c>
      <c r="J18" s="95">
        <f>60+30*3</f>
        <v>150</v>
      </c>
      <c r="K18" s="312">
        <v>0</v>
      </c>
      <c r="L18" s="141"/>
      <c r="M18" s="316">
        <f>K18*J18</f>
        <v>0</v>
      </c>
      <c r="N18" s="148"/>
    </row>
    <row r="19" spans="1:14" ht="21" x14ac:dyDescent="0.35">
      <c r="A19" s="462"/>
      <c r="B19" s="56"/>
      <c r="C19" s="18"/>
      <c r="D19" s="18"/>
      <c r="E19" s="7"/>
      <c r="F19" s="25"/>
      <c r="G19" s="12"/>
      <c r="H19" s="103" t="s">
        <v>20</v>
      </c>
      <c r="I19" s="68" t="s">
        <v>4</v>
      </c>
      <c r="J19" s="95">
        <v>60</v>
      </c>
      <c r="K19" s="312">
        <v>0</v>
      </c>
      <c r="L19" s="141"/>
      <c r="M19" s="316">
        <f>K19*J19</f>
        <v>0</v>
      </c>
      <c r="N19" s="169"/>
    </row>
    <row r="20" spans="1:14" s="43" customFormat="1" ht="21" x14ac:dyDescent="0.35">
      <c r="A20" s="462"/>
      <c r="B20" s="56"/>
      <c r="C20" s="18"/>
      <c r="D20" s="18"/>
      <c r="E20" s="7"/>
      <c r="F20" s="25"/>
      <c r="G20" s="12"/>
      <c r="H20" s="103"/>
      <c r="I20" s="68"/>
      <c r="J20" s="95"/>
      <c r="K20" s="69"/>
      <c r="L20" s="69"/>
      <c r="M20" s="69"/>
      <c r="N20" s="169"/>
    </row>
    <row r="21" spans="1:14" ht="21" x14ac:dyDescent="0.35">
      <c r="A21" s="462"/>
      <c r="B21" s="57">
        <v>170</v>
      </c>
      <c r="C21" s="35" t="s">
        <v>9</v>
      </c>
      <c r="D21" s="35" t="s">
        <v>12</v>
      </c>
      <c r="E21" s="38"/>
      <c r="F21" s="39" t="s">
        <v>21</v>
      </c>
      <c r="G21" s="12"/>
      <c r="H21" s="103" t="s">
        <v>590</v>
      </c>
      <c r="I21" s="68" t="s">
        <v>6</v>
      </c>
      <c r="J21" s="95">
        <v>1</v>
      </c>
      <c r="K21" s="312">
        <v>0</v>
      </c>
      <c r="L21" s="141"/>
      <c r="M21" s="316">
        <f>K21*J21</f>
        <v>0</v>
      </c>
      <c r="N21" s="148"/>
    </row>
    <row r="22" spans="1:14" ht="21" x14ac:dyDescent="0.35">
      <c r="A22" s="462"/>
      <c r="B22" s="56"/>
      <c r="C22" s="18"/>
      <c r="D22" s="18"/>
      <c r="E22" s="7"/>
      <c r="F22" s="25"/>
      <c r="G22" s="12"/>
      <c r="H22" s="103"/>
      <c r="I22" s="68"/>
      <c r="J22" s="95"/>
      <c r="K22" s="69"/>
      <c r="L22" s="69"/>
      <c r="M22" s="69"/>
      <c r="N22" s="148"/>
    </row>
    <row r="23" spans="1:14" ht="18.5" x14ac:dyDescent="0.35">
      <c r="A23" s="462"/>
      <c r="B23" s="57">
        <v>171</v>
      </c>
      <c r="C23" s="35" t="s">
        <v>9</v>
      </c>
      <c r="D23" s="35" t="s">
        <v>23</v>
      </c>
      <c r="E23" s="40"/>
      <c r="F23" s="39" t="s">
        <v>96</v>
      </c>
      <c r="G23" s="13"/>
      <c r="H23" s="103" t="s">
        <v>98</v>
      </c>
      <c r="I23" s="68" t="s">
        <v>6</v>
      </c>
      <c r="J23" s="95">
        <v>1</v>
      </c>
      <c r="K23" s="312">
        <v>0</v>
      </c>
      <c r="L23" s="141"/>
      <c r="M23" s="316">
        <f>K23*J23</f>
        <v>0</v>
      </c>
      <c r="N23" s="148"/>
    </row>
    <row r="24" spans="1:14" s="43" customFormat="1" ht="21" x14ac:dyDescent="0.35">
      <c r="A24" s="462"/>
      <c r="B24" s="56"/>
      <c r="C24" s="18"/>
      <c r="D24" s="18"/>
      <c r="E24" s="7"/>
      <c r="F24" s="25"/>
      <c r="G24" s="12"/>
      <c r="H24" s="103"/>
      <c r="I24" s="68"/>
      <c r="J24" s="95"/>
      <c r="K24" s="69"/>
      <c r="L24" s="69"/>
      <c r="M24" s="69"/>
      <c r="N24" s="148"/>
    </row>
    <row r="25" spans="1:14" s="43" customFormat="1" ht="18.5" x14ac:dyDescent="0.35">
      <c r="A25" s="462"/>
      <c r="B25" s="57">
        <v>172</v>
      </c>
      <c r="C25" s="35" t="s">
        <v>9</v>
      </c>
      <c r="D25" s="35" t="s">
        <v>33</v>
      </c>
      <c r="E25" s="40"/>
      <c r="F25" s="39" t="s">
        <v>37</v>
      </c>
      <c r="G25" s="13"/>
      <c r="H25" s="103" t="s">
        <v>545</v>
      </c>
      <c r="I25" s="68" t="s">
        <v>6</v>
      </c>
      <c r="J25" s="95">
        <v>1</v>
      </c>
      <c r="K25" s="312">
        <v>0</v>
      </c>
      <c r="L25" s="141"/>
      <c r="M25" s="316">
        <f>K25*J25</f>
        <v>0</v>
      </c>
      <c r="N25" s="148"/>
    </row>
    <row r="26" spans="1:14" ht="19" thickBot="1" x14ac:dyDescent="0.4">
      <c r="A26" s="462"/>
      <c r="B26" s="56"/>
      <c r="C26" s="20"/>
      <c r="D26" s="20"/>
      <c r="E26" s="8"/>
      <c r="F26" s="26"/>
      <c r="G26" s="13"/>
      <c r="H26" s="103"/>
      <c r="I26" s="68"/>
      <c r="J26" s="95"/>
      <c r="K26" s="69"/>
      <c r="L26" s="69"/>
      <c r="M26" s="69"/>
      <c r="N26" s="148"/>
    </row>
    <row r="27" spans="1:14" ht="19" thickBot="1" x14ac:dyDescent="0.4">
      <c r="A27" s="462"/>
      <c r="B27" s="453" t="s">
        <v>13</v>
      </c>
      <c r="C27" s="454"/>
      <c r="D27" s="454"/>
      <c r="E27" s="454"/>
      <c r="F27" s="454"/>
      <c r="G27" s="140"/>
      <c r="H27" s="140" t="s">
        <v>459</v>
      </c>
      <c r="I27" s="50"/>
      <c r="J27" s="94"/>
      <c r="K27" s="51"/>
      <c r="L27" s="52">
        <f>SUM(L17:L25)</f>
        <v>0</v>
      </c>
      <c r="M27" s="53">
        <f>SUM(M17:M25)</f>
        <v>0</v>
      </c>
      <c r="N27" s="148"/>
    </row>
    <row r="28" spans="1:14" ht="19" thickBot="1" x14ac:dyDescent="0.4">
      <c r="A28" s="463"/>
      <c r="B28" s="58"/>
      <c r="C28" s="21"/>
      <c r="D28" s="21"/>
      <c r="E28" s="14"/>
      <c r="F28" s="15"/>
      <c r="G28" s="15"/>
      <c r="H28" s="16"/>
      <c r="I28" s="17"/>
      <c r="J28" s="96"/>
      <c r="K28" s="277"/>
      <c r="L28" s="278"/>
      <c r="M28" s="276"/>
      <c r="N28" s="148"/>
    </row>
    <row r="29" spans="1:14" ht="18.5" x14ac:dyDescent="0.35">
      <c r="A29" s="469" t="s">
        <v>40</v>
      </c>
      <c r="B29" s="56"/>
      <c r="C29" s="20"/>
      <c r="D29" s="20"/>
      <c r="E29" s="8"/>
      <c r="F29" s="13"/>
      <c r="G29" s="13"/>
      <c r="H29" s="141"/>
      <c r="I29" s="68"/>
      <c r="J29" s="95"/>
      <c r="K29" s="69"/>
      <c r="L29" s="69"/>
      <c r="M29" s="69"/>
      <c r="N29" s="146"/>
    </row>
    <row r="30" spans="1:14" ht="18.75" customHeight="1" x14ac:dyDescent="0.35">
      <c r="A30" s="470"/>
      <c r="B30" s="57">
        <v>173</v>
      </c>
      <c r="C30" s="35" t="s">
        <v>14</v>
      </c>
      <c r="D30" s="35" t="s">
        <v>10</v>
      </c>
      <c r="E30" s="40"/>
      <c r="F30" s="160" t="s">
        <v>15</v>
      </c>
      <c r="G30" s="161" t="s">
        <v>16</v>
      </c>
      <c r="H30" s="103" t="s">
        <v>456</v>
      </c>
      <c r="I30" s="68" t="s">
        <v>4</v>
      </c>
      <c r="J30" s="95">
        <f>2.5*2.5*2+2*3.22*1.75+3*3.14*0.5*0.5</f>
        <v>26.125000000000004</v>
      </c>
      <c r="K30" s="312">
        <v>0</v>
      </c>
      <c r="L30" s="69">
        <f>K30*J30</f>
        <v>0</v>
      </c>
      <c r="M30" s="312">
        <v>0</v>
      </c>
      <c r="N30" s="148" t="s">
        <v>606</v>
      </c>
    </row>
    <row r="31" spans="1:14" s="79" customFormat="1" ht="18.75" customHeight="1" x14ac:dyDescent="0.35">
      <c r="A31" s="470"/>
      <c r="B31" s="249"/>
      <c r="C31" s="259"/>
      <c r="D31" s="259"/>
      <c r="E31" s="251"/>
      <c r="F31" s="241"/>
      <c r="G31" s="161"/>
      <c r="H31" s="103" t="s">
        <v>495</v>
      </c>
      <c r="I31" s="68" t="s">
        <v>4</v>
      </c>
      <c r="J31" s="95">
        <f>4*0.8*1.75</f>
        <v>5.6000000000000005</v>
      </c>
      <c r="K31" s="312">
        <v>0</v>
      </c>
      <c r="L31" s="69">
        <f>K31*J31</f>
        <v>0</v>
      </c>
      <c r="M31" s="312">
        <v>0</v>
      </c>
      <c r="N31" s="148"/>
    </row>
    <row r="32" spans="1:14" ht="18.5" x14ac:dyDescent="0.35">
      <c r="A32" s="470"/>
      <c r="B32" s="56"/>
      <c r="C32" s="20"/>
      <c r="D32" s="20"/>
      <c r="E32" s="8"/>
      <c r="F32" s="13"/>
      <c r="G32" s="161"/>
      <c r="H32" s="103"/>
      <c r="I32" s="68"/>
      <c r="J32" s="95"/>
      <c r="K32" s="69"/>
      <c r="L32" s="69"/>
      <c r="M32" s="69"/>
      <c r="N32" s="148"/>
    </row>
    <row r="33" spans="1:14" x14ac:dyDescent="0.35">
      <c r="A33" s="470"/>
      <c r="B33" s="56"/>
      <c r="C33" s="8"/>
      <c r="D33" s="8"/>
      <c r="E33" s="8"/>
      <c r="F33" s="13"/>
      <c r="G33" s="161" t="s">
        <v>17</v>
      </c>
      <c r="H33" s="103" t="s">
        <v>457</v>
      </c>
      <c r="I33" s="68" t="s">
        <v>5</v>
      </c>
      <c r="J33" s="95">
        <f>2*6*2.5+4*2.5*2+12*0.8+4*2.28</f>
        <v>68.72</v>
      </c>
      <c r="K33" s="312">
        <v>0</v>
      </c>
      <c r="L33" s="69">
        <f>K33*J33</f>
        <v>0</v>
      </c>
      <c r="M33" s="312">
        <v>0</v>
      </c>
      <c r="N33" s="148"/>
    </row>
    <row r="34" spans="1:14" x14ac:dyDescent="0.35">
      <c r="A34" s="470"/>
      <c r="B34" s="56"/>
      <c r="C34" s="8"/>
      <c r="D34" s="8"/>
      <c r="E34" s="8"/>
      <c r="F34" s="13"/>
      <c r="G34" s="161"/>
      <c r="H34" s="103" t="s">
        <v>578</v>
      </c>
      <c r="I34" s="68" t="s">
        <v>4</v>
      </c>
      <c r="J34" s="95">
        <f>2.33*0.1*4+4*2*0.06*2.5</f>
        <v>2.1320000000000001</v>
      </c>
      <c r="K34" s="312">
        <v>0</v>
      </c>
      <c r="L34" s="69">
        <f>K34*J34</f>
        <v>0</v>
      </c>
      <c r="M34" s="312">
        <v>0</v>
      </c>
      <c r="N34" s="148"/>
    </row>
    <row r="35" spans="1:14" x14ac:dyDescent="0.35">
      <c r="A35" s="470"/>
      <c r="B35" s="56"/>
      <c r="C35" s="8"/>
      <c r="D35" s="8"/>
      <c r="E35" s="8"/>
      <c r="F35" s="13"/>
      <c r="G35" s="161"/>
      <c r="H35" s="103"/>
      <c r="I35" s="68"/>
      <c r="J35" s="95"/>
      <c r="K35" s="69"/>
      <c r="L35" s="69"/>
      <c r="M35" s="69"/>
      <c r="N35" s="148"/>
    </row>
    <row r="36" spans="1:14" x14ac:dyDescent="0.35">
      <c r="A36" s="470"/>
      <c r="B36" s="56"/>
      <c r="C36" s="8"/>
      <c r="D36" s="8"/>
      <c r="E36" s="8"/>
      <c r="F36" s="13"/>
      <c r="G36" s="161" t="s">
        <v>18</v>
      </c>
      <c r="H36" s="103" t="s">
        <v>591</v>
      </c>
      <c r="I36" s="68" t="s">
        <v>4</v>
      </c>
      <c r="J36" s="95">
        <f>J30+J34</f>
        <v>28.257000000000005</v>
      </c>
      <c r="K36" s="312">
        <v>0</v>
      </c>
      <c r="L36" s="69">
        <f>K36*J36</f>
        <v>0</v>
      </c>
      <c r="M36" s="312">
        <v>0</v>
      </c>
      <c r="N36" s="148" t="s">
        <v>519</v>
      </c>
    </row>
    <row r="37" spans="1:14" x14ac:dyDescent="0.35">
      <c r="A37" s="470"/>
      <c r="B37" s="56"/>
      <c r="C37" s="8"/>
      <c r="D37" s="8"/>
      <c r="E37" s="8"/>
      <c r="F37" s="13"/>
      <c r="G37" s="161"/>
      <c r="H37" s="103"/>
      <c r="I37" s="68"/>
      <c r="J37" s="95"/>
      <c r="K37" s="69"/>
      <c r="L37" s="69"/>
      <c r="M37" s="69"/>
      <c r="N37" s="148"/>
    </row>
    <row r="38" spans="1:14" ht="29" x14ac:dyDescent="0.35">
      <c r="A38" s="470"/>
      <c r="B38" s="56"/>
      <c r="C38" s="8"/>
      <c r="D38" s="8"/>
      <c r="E38" s="8"/>
      <c r="F38" s="13"/>
      <c r="G38" s="161" t="s">
        <v>19</v>
      </c>
      <c r="H38" s="221" t="s">
        <v>773</v>
      </c>
      <c r="I38" s="68" t="s">
        <v>4</v>
      </c>
      <c r="J38" s="95">
        <f>4*2.5*1.8</f>
        <v>18</v>
      </c>
      <c r="K38" s="312">
        <v>0</v>
      </c>
      <c r="L38" s="69">
        <f>K38*J38</f>
        <v>0</v>
      </c>
      <c r="M38" s="312">
        <v>0</v>
      </c>
      <c r="N38" s="148"/>
    </row>
    <row r="39" spans="1:14" x14ac:dyDescent="0.35">
      <c r="A39" s="470"/>
      <c r="B39" s="56"/>
      <c r="C39" s="8"/>
      <c r="D39" s="8"/>
      <c r="E39" s="8"/>
      <c r="F39" s="13"/>
      <c r="G39" s="161"/>
      <c r="H39" s="103"/>
      <c r="I39" s="68"/>
      <c r="J39" s="95"/>
      <c r="K39" s="69"/>
      <c r="L39" s="69"/>
      <c r="M39" s="69"/>
      <c r="N39" s="148"/>
    </row>
    <row r="40" spans="1:14" x14ac:dyDescent="0.35">
      <c r="A40" s="470"/>
      <c r="B40" s="56"/>
      <c r="C40" s="8"/>
      <c r="D40" s="8"/>
      <c r="E40" s="8"/>
      <c r="F40" s="13"/>
      <c r="G40" s="13" t="s">
        <v>28</v>
      </c>
      <c r="H40" s="103" t="s">
        <v>29</v>
      </c>
      <c r="I40" s="68" t="s">
        <v>6</v>
      </c>
      <c r="J40" s="95">
        <v>8</v>
      </c>
      <c r="K40" s="312">
        <v>0</v>
      </c>
      <c r="L40" s="69">
        <f>K40*J40</f>
        <v>0</v>
      </c>
      <c r="M40" s="312">
        <v>0</v>
      </c>
      <c r="N40" s="148"/>
    </row>
    <row r="41" spans="1:14" x14ac:dyDescent="0.35">
      <c r="A41" s="470"/>
      <c r="B41" s="56"/>
      <c r="C41" s="8"/>
      <c r="D41" s="8"/>
      <c r="E41" s="8"/>
      <c r="F41" s="13"/>
      <c r="G41" s="13"/>
      <c r="H41" s="103" t="s">
        <v>30</v>
      </c>
      <c r="I41" s="68" t="s">
        <v>6</v>
      </c>
      <c r="J41" s="95">
        <v>8</v>
      </c>
      <c r="K41" s="312">
        <v>0</v>
      </c>
      <c r="L41" s="69">
        <f>K41*J41</f>
        <v>0</v>
      </c>
      <c r="M41" s="312">
        <v>0</v>
      </c>
      <c r="N41" s="148"/>
    </row>
    <row r="42" spans="1:14" x14ac:dyDescent="0.35">
      <c r="A42" s="470"/>
      <c r="B42" s="56"/>
      <c r="C42" s="8"/>
      <c r="D42" s="8"/>
      <c r="E42" s="8"/>
      <c r="F42" s="13"/>
      <c r="G42" s="13"/>
      <c r="H42" s="103" t="s">
        <v>536</v>
      </c>
      <c r="I42" s="68" t="s">
        <v>6</v>
      </c>
      <c r="J42" s="95">
        <v>12</v>
      </c>
      <c r="K42" s="312">
        <v>0</v>
      </c>
      <c r="L42" s="69">
        <f>K42*J42</f>
        <v>0</v>
      </c>
      <c r="M42" s="312">
        <v>0</v>
      </c>
      <c r="N42" s="148"/>
    </row>
    <row r="43" spans="1:14" s="79" customFormat="1" x14ac:dyDescent="0.35">
      <c r="A43" s="470"/>
      <c r="B43" s="56"/>
      <c r="C43" s="8"/>
      <c r="D43" s="8"/>
      <c r="E43" s="8"/>
      <c r="F43" s="13"/>
      <c r="G43" s="13"/>
      <c r="H43" s="210" t="s">
        <v>366</v>
      </c>
      <c r="I43" s="211" t="s">
        <v>5</v>
      </c>
      <c r="J43" s="212">
        <f>6+8</f>
        <v>14</v>
      </c>
      <c r="K43" s="312">
        <v>0</v>
      </c>
      <c r="L43" s="69">
        <f>K43*J43</f>
        <v>0</v>
      </c>
      <c r="M43" s="312">
        <v>0</v>
      </c>
      <c r="N43" s="148"/>
    </row>
    <row r="44" spans="1:14" s="135" customFormat="1" x14ac:dyDescent="0.35">
      <c r="A44" s="470"/>
      <c r="B44" s="56"/>
      <c r="C44" s="8"/>
      <c r="D44" s="8"/>
      <c r="E44" s="8"/>
      <c r="F44" s="13"/>
      <c r="G44" s="13"/>
      <c r="H44" s="213" t="s">
        <v>442</v>
      </c>
      <c r="I44" s="214" t="s">
        <v>6</v>
      </c>
      <c r="J44" s="215">
        <v>8</v>
      </c>
      <c r="K44" s="312">
        <v>0</v>
      </c>
      <c r="L44" s="69">
        <f>K44*J44</f>
        <v>0</v>
      </c>
      <c r="M44" s="312">
        <v>0</v>
      </c>
      <c r="N44" s="148"/>
    </row>
    <row r="45" spans="1:14" x14ac:dyDescent="0.35">
      <c r="A45" s="470"/>
      <c r="B45" s="56"/>
      <c r="C45" s="8"/>
      <c r="D45" s="8"/>
      <c r="E45" s="8"/>
      <c r="F45" s="13"/>
      <c r="G45" s="13"/>
      <c r="H45" s="210"/>
      <c r="I45" s="211"/>
      <c r="J45" s="212"/>
      <c r="K45" s="69"/>
      <c r="L45" s="69"/>
      <c r="M45" s="69"/>
      <c r="N45" s="148"/>
    </row>
    <row r="46" spans="1:14" ht="15.5" x14ac:dyDescent="0.35">
      <c r="A46" s="470"/>
      <c r="B46" s="76"/>
      <c r="C46" s="77"/>
      <c r="D46" s="77"/>
      <c r="E46" s="77"/>
      <c r="F46" s="25"/>
      <c r="G46" s="64"/>
      <c r="H46" s="65" t="s">
        <v>459</v>
      </c>
      <c r="I46" s="66"/>
      <c r="J46" s="102"/>
      <c r="K46" s="67"/>
      <c r="L46" s="89">
        <f>SUM(L30:L44)</f>
        <v>0</v>
      </c>
      <c r="M46" s="89">
        <f>SUM(M30:M44)</f>
        <v>0</v>
      </c>
      <c r="N46" s="148"/>
    </row>
    <row r="47" spans="1:14" x14ac:dyDescent="0.35">
      <c r="A47" s="470"/>
      <c r="B47" s="56"/>
      <c r="C47" s="8"/>
      <c r="D47" s="8"/>
      <c r="E47" s="8"/>
      <c r="F47" s="28"/>
      <c r="G47" s="28"/>
      <c r="H47" s="29"/>
      <c r="I47" s="29"/>
      <c r="J47" s="97"/>
      <c r="K47" s="29"/>
      <c r="L47" s="29"/>
      <c r="M47" s="29"/>
      <c r="N47" s="148"/>
    </row>
    <row r="48" spans="1:14" ht="18.5" x14ac:dyDescent="0.35">
      <c r="A48" s="470"/>
      <c r="B48" s="57">
        <v>174</v>
      </c>
      <c r="C48" s="35" t="s">
        <v>14</v>
      </c>
      <c r="D48" s="35" t="s">
        <v>12</v>
      </c>
      <c r="E48" s="40"/>
      <c r="F48" s="160" t="s">
        <v>31</v>
      </c>
      <c r="G48" s="161" t="s">
        <v>16</v>
      </c>
      <c r="H48" s="103" t="s">
        <v>456</v>
      </c>
      <c r="I48" s="68" t="s">
        <v>4</v>
      </c>
      <c r="J48" s="95">
        <f>0.45*(7.985+0.175+0.14+0.175+0.16+2.165+2.65+1.84+1.405)+0.45*(0.44+0.475+0.61+0.735+0.735+0.57+0.475+0.495+0.5+0.57+0.39+0.32)+4.7*2+1.95</f>
        <v>21.704499999999999</v>
      </c>
      <c r="K48" s="312">
        <v>0</v>
      </c>
      <c r="L48" s="69">
        <f>K48*J48</f>
        <v>0</v>
      </c>
      <c r="M48" s="312">
        <v>0</v>
      </c>
      <c r="N48" s="148" t="s">
        <v>606</v>
      </c>
    </row>
    <row r="49" spans="1:14" s="79" customFormat="1" ht="18.5" x14ac:dyDescent="0.35">
      <c r="A49" s="470"/>
      <c r="B49" s="249"/>
      <c r="C49" s="259"/>
      <c r="D49" s="259"/>
      <c r="E49" s="251"/>
      <c r="F49" s="241"/>
      <c r="G49" s="216"/>
      <c r="H49" s="103" t="s">
        <v>496</v>
      </c>
      <c r="I49" s="68" t="s">
        <v>4</v>
      </c>
      <c r="J49" s="95">
        <f>((0.29*2+0.1)*(2.165+2.65+1.84+1.405))</f>
        <v>5.4807999999999986</v>
      </c>
      <c r="K49" s="312">
        <v>0</v>
      </c>
      <c r="L49" s="69">
        <f>K49*J49</f>
        <v>0</v>
      </c>
      <c r="M49" s="312">
        <v>0</v>
      </c>
      <c r="N49" s="148"/>
    </row>
    <row r="50" spans="1:14" ht="18.5" x14ac:dyDescent="0.35">
      <c r="A50" s="470"/>
      <c r="B50" s="56"/>
      <c r="C50" s="20"/>
      <c r="D50" s="20"/>
      <c r="E50" s="8"/>
      <c r="F50" s="13"/>
      <c r="G50" s="161"/>
      <c r="H50" s="103"/>
      <c r="I50" s="68"/>
      <c r="J50" s="95"/>
      <c r="K50" s="69"/>
      <c r="L50" s="69"/>
      <c r="M50" s="69"/>
      <c r="N50" s="148"/>
    </row>
    <row r="51" spans="1:14" x14ac:dyDescent="0.35">
      <c r="A51" s="470"/>
      <c r="B51" s="56"/>
      <c r="C51" s="8"/>
      <c r="D51" s="8"/>
      <c r="E51" s="8"/>
      <c r="F51" s="13"/>
      <c r="G51" s="161" t="s">
        <v>17</v>
      </c>
      <c r="H51" s="103" t="s">
        <v>706</v>
      </c>
      <c r="I51" s="68" t="s">
        <v>4</v>
      </c>
      <c r="J51" s="95">
        <f>(0.3+0.1)*(0.475+0.51+0.735+0.695+0.495+0.5+0.57+0.39)</f>
        <v>1.7480000000000002</v>
      </c>
      <c r="K51" s="312">
        <v>0</v>
      </c>
      <c r="L51" s="69">
        <f>K51*J51</f>
        <v>0</v>
      </c>
      <c r="M51" s="312">
        <v>0</v>
      </c>
      <c r="N51" s="148"/>
    </row>
    <row r="52" spans="1:14" s="79" customFormat="1" x14ac:dyDescent="0.35">
      <c r="A52" s="470"/>
      <c r="B52" s="56"/>
      <c r="C52" s="8"/>
      <c r="D52" s="8"/>
      <c r="E52" s="8"/>
      <c r="F52" s="13"/>
      <c r="G52" s="161"/>
      <c r="H52" s="103" t="s">
        <v>592</v>
      </c>
      <c r="I52" s="68" t="s">
        <v>5</v>
      </c>
      <c r="J52" s="95">
        <f>7.985</f>
        <v>7.9850000000000003</v>
      </c>
      <c r="K52" s="312">
        <v>0</v>
      </c>
      <c r="L52" s="69">
        <f>K52*J52</f>
        <v>0</v>
      </c>
      <c r="M52" s="312">
        <v>0</v>
      </c>
      <c r="N52" s="148"/>
    </row>
    <row r="53" spans="1:14" s="79" customFormat="1" x14ac:dyDescent="0.35">
      <c r="A53" s="470"/>
      <c r="B53" s="56"/>
      <c r="C53" s="8"/>
      <c r="D53" s="8"/>
      <c r="E53" s="8"/>
      <c r="F53" s="13"/>
      <c r="G53" s="161"/>
      <c r="H53" s="103" t="s">
        <v>100</v>
      </c>
      <c r="I53" s="68" t="s">
        <v>5</v>
      </c>
      <c r="J53" s="95">
        <f>2.165+2.65+1.84+1.405+2*0.25</f>
        <v>8.5599999999999987</v>
      </c>
      <c r="K53" s="312">
        <v>0</v>
      </c>
      <c r="L53" s="69">
        <f>K53*J53</f>
        <v>0</v>
      </c>
      <c r="M53" s="312">
        <v>0</v>
      </c>
      <c r="N53" s="148"/>
    </row>
    <row r="54" spans="1:14" s="79" customFormat="1" x14ac:dyDescent="0.35">
      <c r="A54" s="470"/>
      <c r="B54" s="56"/>
      <c r="C54" s="8"/>
      <c r="D54" s="8"/>
      <c r="E54" s="8"/>
      <c r="F54" s="13"/>
      <c r="G54" s="161"/>
      <c r="H54" s="103" t="s">
        <v>101</v>
      </c>
      <c r="I54" s="68" t="s">
        <v>5</v>
      </c>
      <c r="J54" s="95">
        <f>2.165+2.65+1.84+1.405+2*0.25</f>
        <v>8.5599999999999987</v>
      </c>
      <c r="K54" s="312">
        <v>0</v>
      </c>
      <c r="L54" s="69">
        <f>K54*J54</f>
        <v>0</v>
      </c>
      <c r="M54" s="312">
        <v>0</v>
      </c>
      <c r="N54" s="148"/>
    </row>
    <row r="55" spans="1:14" s="79" customFormat="1" x14ac:dyDescent="0.35">
      <c r="A55" s="470"/>
      <c r="B55" s="56"/>
      <c r="C55" s="8"/>
      <c r="D55" s="8"/>
      <c r="E55" s="8"/>
      <c r="F55" s="13"/>
      <c r="G55" s="161"/>
      <c r="H55" s="103" t="s">
        <v>593</v>
      </c>
      <c r="I55" s="68" t="s">
        <v>5</v>
      </c>
      <c r="J55" s="95">
        <f>2.317</f>
        <v>2.3170000000000002</v>
      </c>
      <c r="K55" s="312">
        <v>0</v>
      </c>
      <c r="L55" s="69">
        <f>K55*J55</f>
        <v>0</v>
      </c>
      <c r="M55" s="312">
        <v>0</v>
      </c>
      <c r="N55" s="148"/>
    </row>
    <row r="56" spans="1:14" x14ac:dyDescent="0.35">
      <c r="A56" s="470"/>
      <c r="B56" s="56"/>
      <c r="C56" s="8"/>
      <c r="D56" s="8"/>
      <c r="E56" s="8"/>
      <c r="F56" s="13"/>
      <c r="G56" s="161"/>
      <c r="H56" s="103"/>
      <c r="I56" s="68"/>
      <c r="J56" s="95"/>
      <c r="K56" s="69"/>
      <c r="L56" s="69"/>
      <c r="M56" s="69"/>
      <c r="N56" s="148"/>
    </row>
    <row r="57" spans="1:14" x14ac:dyDescent="0.35">
      <c r="A57" s="470"/>
      <c r="B57" s="56"/>
      <c r="C57" s="8"/>
      <c r="D57" s="8"/>
      <c r="E57" s="8"/>
      <c r="F57" s="13"/>
      <c r="G57" s="161" t="s">
        <v>18</v>
      </c>
      <c r="H57" s="103" t="s">
        <v>149</v>
      </c>
      <c r="I57" s="68" t="s">
        <v>4</v>
      </c>
      <c r="J57" s="95">
        <f>0.45*(0.44+0.475+0.61+0.735+0.735+0.57+0.475+0.495+0.5+0.57+0.39+0.32)+0.45*(7.985+0.175+0.14+0.175+0.16+2.165+2.65+1.84+1.405)</f>
        <v>10.3545</v>
      </c>
      <c r="K57" s="312">
        <v>0</v>
      </c>
      <c r="L57" s="69">
        <f>K57*J57</f>
        <v>0</v>
      </c>
      <c r="M57" s="312">
        <v>0</v>
      </c>
      <c r="N57" s="148" t="s">
        <v>519</v>
      </c>
    </row>
    <row r="58" spans="1:14" x14ac:dyDescent="0.35">
      <c r="A58" s="470"/>
      <c r="B58" s="56"/>
      <c r="C58" s="8"/>
      <c r="D58" s="8"/>
      <c r="E58" s="8"/>
      <c r="F58" s="13"/>
      <c r="G58" s="161"/>
      <c r="H58" s="103" t="s">
        <v>369</v>
      </c>
      <c r="I58" s="68" t="s">
        <v>4</v>
      </c>
      <c r="J58" s="95">
        <f>(0.29*2+0.1)*(2.165+2.65+1.84+1.405)+0.45*(0.175+0.14+0.175+0.16+2.165+2.65+1.84+1.405)</f>
        <v>9.4002999999999979</v>
      </c>
      <c r="K58" s="312">
        <v>0</v>
      </c>
      <c r="L58" s="69">
        <f>K58*J58</f>
        <v>0</v>
      </c>
      <c r="M58" s="312">
        <v>0</v>
      </c>
      <c r="N58" s="148" t="s">
        <v>519</v>
      </c>
    </row>
    <row r="59" spans="1:14" s="79" customFormat="1" x14ac:dyDescent="0.35">
      <c r="A59" s="470"/>
      <c r="B59" s="56"/>
      <c r="C59" s="8"/>
      <c r="D59" s="8"/>
      <c r="E59" s="8"/>
      <c r="F59" s="13"/>
      <c r="G59" s="161"/>
      <c r="H59" s="103" t="s">
        <v>368</v>
      </c>
      <c r="I59" s="68" t="s">
        <v>4</v>
      </c>
      <c r="J59" s="95">
        <f>4.7+0.45*(0.44+0.32)</f>
        <v>5.0419999999999998</v>
      </c>
      <c r="K59" s="312">
        <v>0</v>
      </c>
      <c r="L59" s="69">
        <f>K59*J59</f>
        <v>0</v>
      </c>
      <c r="M59" s="312">
        <v>0</v>
      </c>
      <c r="N59" s="148" t="s">
        <v>441</v>
      </c>
    </row>
    <row r="60" spans="1:14" x14ac:dyDescent="0.35">
      <c r="A60" s="470"/>
      <c r="B60" s="56"/>
      <c r="C60" s="8"/>
      <c r="D60" s="8"/>
      <c r="E60" s="8"/>
      <c r="F60" s="13"/>
      <c r="G60" s="161"/>
      <c r="H60" s="103"/>
      <c r="I60" s="68"/>
      <c r="J60" s="95"/>
      <c r="K60" s="69"/>
      <c r="L60" s="69"/>
      <c r="M60" s="69"/>
      <c r="N60" s="148"/>
    </row>
    <row r="61" spans="1:14" ht="29" x14ac:dyDescent="0.35">
      <c r="A61" s="470"/>
      <c r="B61" s="56"/>
      <c r="C61" s="8"/>
      <c r="D61" s="8"/>
      <c r="E61" s="8"/>
      <c r="F61" s="13"/>
      <c r="G61" s="161" t="s">
        <v>19</v>
      </c>
      <c r="H61" s="88" t="s">
        <v>774</v>
      </c>
      <c r="I61" s="68" t="s">
        <v>4</v>
      </c>
      <c r="J61" s="95">
        <f>0.32+(0.25+2.043*1)+(0.24+1.956*1)+(0.21+1.869*1)</f>
        <v>6.8879999999999999</v>
      </c>
      <c r="K61" s="312">
        <v>0</v>
      </c>
      <c r="L61" s="69">
        <f>K61*J61</f>
        <v>0</v>
      </c>
      <c r="M61" s="312">
        <v>0</v>
      </c>
      <c r="N61" s="223" t="s">
        <v>699</v>
      </c>
    </row>
    <row r="62" spans="1:14" s="79" customFormat="1" ht="29" x14ac:dyDescent="0.35">
      <c r="A62" s="470"/>
      <c r="B62" s="56"/>
      <c r="C62" s="8"/>
      <c r="D62" s="8"/>
      <c r="E62" s="8"/>
      <c r="F62" s="13"/>
      <c r="G62" s="161"/>
      <c r="H62" s="88" t="s">
        <v>725</v>
      </c>
      <c r="I62" s="68" t="s">
        <v>4</v>
      </c>
      <c r="J62" s="95">
        <f>1.95+0.45*(2.165+2.65+1.84+1.405)+2*0.255*0.45</f>
        <v>5.8064999999999989</v>
      </c>
      <c r="K62" s="312">
        <v>0</v>
      </c>
      <c r="L62" s="69">
        <f>K62*J62</f>
        <v>0</v>
      </c>
      <c r="M62" s="312">
        <v>0</v>
      </c>
      <c r="N62" s="148"/>
    </row>
    <row r="63" spans="1:14" x14ac:dyDescent="0.35">
      <c r="A63" s="470"/>
      <c r="B63" s="56"/>
      <c r="C63" s="8"/>
      <c r="D63" s="8"/>
      <c r="E63" s="8"/>
      <c r="F63" s="13"/>
      <c r="G63" s="161"/>
      <c r="H63" s="103"/>
      <c r="I63" s="68"/>
      <c r="J63" s="95"/>
      <c r="K63" s="69"/>
      <c r="L63" s="69"/>
      <c r="M63" s="69"/>
      <c r="N63" s="148"/>
    </row>
    <row r="64" spans="1:14" x14ac:dyDescent="0.35">
      <c r="A64" s="470"/>
      <c r="B64" s="56"/>
      <c r="C64" s="8"/>
      <c r="D64" s="8"/>
      <c r="E64" s="8"/>
      <c r="F64" s="13"/>
      <c r="G64" s="13" t="s">
        <v>28</v>
      </c>
      <c r="H64" s="103" t="s">
        <v>29</v>
      </c>
      <c r="I64" s="68" t="s">
        <v>6</v>
      </c>
      <c r="J64" s="95">
        <v>15</v>
      </c>
      <c r="K64" s="312">
        <v>0</v>
      </c>
      <c r="L64" s="69">
        <f>K64*J64</f>
        <v>0</v>
      </c>
      <c r="M64" s="312">
        <v>0</v>
      </c>
      <c r="N64" s="148"/>
    </row>
    <row r="65" spans="1:14" x14ac:dyDescent="0.35">
      <c r="A65" s="470"/>
      <c r="B65" s="56"/>
      <c r="C65" s="8"/>
      <c r="D65" s="8"/>
      <c r="E65" s="8"/>
      <c r="F65" s="13"/>
      <c r="G65" s="13"/>
      <c r="H65" s="103" t="s">
        <v>153</v>
      </c>
      <c r="I65" s="68" t="s">
        <v>6</v>
      </c>
      <c r="J65" s="95">
        <v>7</v>
      </c>
      <c r="K65" s="312">
        <v>0</v>
      </c>
      <c r="L65" s="69">
        <f>K65*J65</f>
        <v>0</v>
      </c>
      <c r="M65" s="312">
        <v>0</v>
      </c>
      <c r="N65" s="148"/>
    </row>
    <row r="66" spans="1:14" s="135" customFormat="1" x14ac:dyDescent="0.35">
      <c r="A66" s="470"/>
      <c r="B66" s="56"/>
      <c r="C66" s="8"/>
      <c r="D66" s="8"/>
      <c r="E66" s="8"/>
      <c r="F66" s="13"/>
      <c r="G66" s="13"/>
      <c r="H66" s="213" t="s">
        <v>408</v>
      </c>
      <c r="I66" s="214" t="s">
        <v>6</v>
      </c>
      <c r="J66" s="215">
        <v>3</v>
      </c>
      <c r="K66" s="312">
        <v>0</v>
      </c>
      <c r="L66" s="69">
        <f>K66*J66</f>
        <v>0</v>
      </c>
      <c r="M66" s="312">
        <v>0</v>
      </c>
      <c r="N66" s="148"/>
    </row>
    <row r="67" spans="1:14" x14ac:dyDescent="0.35">
      <c r="A67" s="470"/>
      <c r="B67" s="56"/>
      <c r="C67" s="8"/>
      <c r="D67" s="8"/>
      <c r="E67" s="8"/>
      <c r="F67" s="13"/>
      <c r="G67" s="13"/>
      <c r="H67" s="103"/>
      <c r="I67" s="68"/>
      <c r="J67" s="95"/>
      <c r="K67" s="69"/>
      <c r="L67" s="69"/>
      <c r="M67" s="69"/>
      <c r="N67" s="148"/>
    </row>
    <row r="68" spans="1:14" ht="15.5" x14ac:dyDescent="0.35">
      <c r="A68" s="470"/>
      <c r="B68" s="76"/>
      <c r="C68" s="77"/>
      <c r="D68" s="77"/>
      <c r="E68" s="77"/>
      <c r="F68" s="30"/>
      <c r="G68" s="31"/>
      <c r="H68" s="32" t="s">
        <v>459</v>
      </c>
      <c r="I68" s="33"/>
      <c r="J68" s="98"/>
      <c r="K68" s="34"/>
      <c r="L68" s="137">
        <f>SUM(L48:L66)</f>
        <v>0</v>
      </c>
      <c r="M68" s="137">
        <f>SUM(M48:M66)</f>
        <v>0</v>
      </c>
      <c r="N68" s="148"/>
    </row>
    <row r="69" spans="1:14" x14ac:dyDescent="0.35">
      <c r="A69" s="470"/>
      <c r="B69" s="56"/>
      <c r="C69" s="8"/>
      <c r="D69" s="8"/>
      <c r="E69" s="8"/>
      <c r="F69" s="8"/>
      <c r="G69" s="8"/>
      <c r="H69" s="141"/>
      <c r="I69" s="141"/>
      <c r="J69" s="162"/>
      <c r="K69" s="141"/>
      <c r="L69" s="141"/>
      <c r="M69" s="141"/>
      <c r="N69" s="148"/>
    </row>
    <row r="70" spans="1:14" ht="18.5" x14ac:dyDescent="0.35">
      <c r="A70" s="470"/>
      <c r="B70" s="57">
        <v>175</v>
      </c>
      <c r="C70" s="35" t="s">
        <v>14</v>
      </c>
      <c r="D70" s="35" t="s">
        <v>23</v>
      </c>
      <c r="E70" s="40"/>
      <c r="F70" s="160" t="s">
        <v>32</v>
      </c>
      <c r="G70" s="161" t="s">
        <v>17</v>
      </c>
      <c r="H70" s="103" t="s">
        <v>475</v>
      </c>
      <c r="I70" s="68" t="s">
        <v>5</v>
      </c>
      <c r="J70" s="95">
        <f>1.78*2+0.83*2</f>
        <v>5.22</v>
      </c>
      <c r="K70" s="312">
        <v>0</v>
      </c>
      <c r="L70" s="69">
        <f>K70*J70</f>
        <v>0</v>
      </c>
      <c r="M70" s="312">
        <v>0</v>
      </c>
      <c r="N70" s="148"/>
    </row>
    <row r="71" spans="1:14" ht="18.5" x14ac:dyDescent="0.35">
      <c r="A71" s="470"/>
      <c r="B71" s="56"/>
      <c r="C71" s="20"/>
      <c r="D71" s="20"/>
      <c r="E71" s="8"/>
      <c r="F71" s="13"/>
      <c r="G71" s="161"/>
      <c r="H71" s="103" t="s">
        <v>476</v>
      </c>
      <c r="I71" s="68" t="s">
        <v>5</v>
      </c>
      <c r="J71" s="95">
        <f>3*0.75</f>
        <v>2.25</v>
      </c>
      <c r="K71" s="312">
        <v>0</v>
      </c>
      <c r="L71" s="69">
        <f>K71*J71</f>
        <v>0</v>
      </c>
      <c r="M71" s="312">
        <v>0</v>
      </c>
      <c r="N71" s="148"/>
    </row>
    <row r="72" spans="1:14" x14ac:dyDescent="0.35">
      <c r="A72" s="470"/>
      <c r="B72" s="56"/>
      <c r="C72" s="8"/>
      <c r="D72" s="8"/>
      <c r="E72" s="8"/>
      <c r="F72" s="13"/>
      <c r="G72" s="161"/>
      <c r="H72" s="103" t="s">
        <v>705</v>
      </c>
      <c r="I72" s="68" t="s">
        <v>5</v>
      </c>
      <c r="J72" s="95">
        <f>3*0.75*0.03</f>
        <v>6.7500000000000004E-2</v>
      </c>
      <c r="K72" s="312">
        <v>0</v>
      </c>
      <c r="L72" s="69">
        <f>K72*J72</f>
        <v>0</v>
      </c>
      <c r="M72" s="312">
        <v>0</v>
      </c>
      <c r="N72" s="148"/>
    </row>
    <row r="73" spans="1:14" x14ac:dyDescent="0.35">
      <c r="A73" s="470"/>
      <c r="B73" s="56"/>
      <c r="C73" s="8"/>
      <c r="D73" s="8"/>
      <c r="E73" s="8"/>
      <c r="F73" s="13"/>
      <c r="G73" s="161"/>
      <c r="H73" s="103"/>
      <c r="I73" s="68"/>
      <c r="J73" s="95"/>
      <c r="K73" s="69"/>
      <c r="L73" s="69"/>
      <c r="M73" s="69"/>
      <c r="N73" s="148"/>
    </row>
    <row r="74" spans="1:14" x14ac:dyDescent="0.35">
      <c r="A74" s="470"/>
      <c r="B74" s="56"/>
      <c r="C74" s="8"/>
      <c r="D74" s="8"/>
      <c r="E74" s="8"/>
      <c r="F74" s="13"/>
      <c r="G74" s="161" t="s">
        <v>18</v>
      </c>
      <c r="H74" s="103" t="s">
        <v>498</v>
      </c>
      <c r="I74" s="68" t="s">
        <v>4</v>
      </c>
      <c r="J74" s="95">
        <f>J70*2*0.04*3+0.5</f>
        <v>1.7527999999999999</v>
      </c>
      <c r="K74" s="312">
        <v>0</v>
      </c>
      <c r="L74" s="69">
        <f>K74*J74</f>
        <v>0</v>
      </c>
      <c r="M74" s="312">
        <v>0</v>
      </c>
      <c r="N74" s="148"/>
    </row>
    <row r="75" spans="1:14" x14ac:dyDescent="0.35">
      <c r="A75" s="470"/>
      <c r="B75" s="56"/>
      <c r="C75" s="8"/>
      <c r="D75" s="8"/>
      <c r="E75" s="8"/>
      <c r="F75" s="13"/>
      <c r="G75" s="161"/>
      <c r="H75" s="103"/>
      <c r="I75" s="68"/>
      <c r="J75" s="95"/>
      <c r="K75" s="69"/>
      <c r="L75" s="69"/>
      <c r="M75" s="69"/>
      <c r="N75" s="148"/>
    </row>
    <row r="76" spans="1:14" x14ac:dyDescent="0.35">
      <c r="A76" s="470"/>
      <c r="B76" s="56"/>
      <c r="C76" s="8"/>
      <c r="D76" s="8"/>
      <c r="E76" s="8"/>
      <c r="F76" s="13"/>
      <c r="G76" s="161" t="s">
        <v>19</v>
      </c>
      <c r="H76" s="103" t="s">
        <v>770</v>
      </c>
      <c r="I76" s="68" t="s">
        <v>4</v>
      </c>
      <c r="J76" s="95">
        <f>0.79*0.79</f>
        <v>0.6241000000000001</v>
      </c>
      <c r="K76" s="312">
        <v>0</v>
      </c>
      <c r="L76" s="69">
        <f>K76*J76</f>
        <v>0</v>
      </c>
      <c r="M76" s="312">
        <v>0</v>
      </c>
      <c r="N76" s="148"/>
    </row>
    <row r="77" spans="1:14" x14ac:dyDescent="0.35">
      <c r="A77" s="470"/>
      <c r="B77" s="56"/>
      <c r="C77" s="8"/>
      <c r="D77" s="8"/>
      <c r="E77" s="8"/>
      <c r="F77" s="13"/>
      <c r="G77" s="13"/>
      <c r="H77" s="103"/>
      <c r="I77" s="68"/>
      <c r="J77" s="95"/>
      <c r="K77" s="69"/>
      <c r="L77" s="69"/>
      <c r="M77" s="69"/>
      <c r="N77" s="148"/>
    </row>
    <row r="78" spans="1:14" ht="15.5" x14ac:dyDescent="0.35">
      <c r="A78" s="470"/>
      <c r="B78" s="76"/>
      <c r="C78" s="77"/>
      <c r="D78" s="77"/>
      <c r="E78" s="77"/>
      <c r="F78" s="30"/>
      <c r="G78" s="31"/>
      <c r="H78" s="32" t="s">
        <v>459</v>
      </c>
      <c r="I78" s="33"/>
      <c r="J78" s="98"/>
      <c r="K78" s="34"/>
      <c r="L78" s="137">
        <f>SUM(L70:L76)</f>
        <v>0</v>
      </c>
      <c r="M78" s="137">
        <f>SUM(M70:M76)</f>
        <v>0</v>
      </c>
      <c r="N78" s="148"/>
    </row>
    <row r="79" spans="1:14" x14ac:dyDescent="0.35">
      <c r="A79" s="470"/>
      <c r="B79" s="56"/>
      <c r="C79" s="8"/>
      <c r="D79" s="8"/>
      <c r="E79" s="8"/>
      <c r="F79" s="28"/>
      <c r="G79" s="28"/>
      <c r="H79" s="29"/>
      <c r="I79" s="29"/>
      <c r="J79" s="97"/>
      <c r="K79" s="29"/>
      <c r="L79" s="29"/>
      <c r="M79" s="29"/>
      <c r="N79" s="148"/>
    </row>
    <row r="80" spans="1:14" ht="18.5" x14ac:dyDescent="0.35">
      <c r="A80" s="470"/>
      <c r="B80" s="57">
        <v>176</v>
      </c>
      <c r="C80" s="35" t="s">
        <v>14</v>
      </c>
      <c r="D80" s="35" t="s">
        <v>33</v>
      </c>
      <c r="E80" s="40"/>
      <c r="F80" s="160" t="s">
        <v>34</v>
      </c>
      <c r="G80" s="161" t="s">
        <v>16</v>
      </c>
      <c r="H80" s="103" t="s">
        <v>594</v>
      </c>
      <c r="I80" s="68" t="s">
        <v>4</v>
      </c>
      <c r="J80" s="95">
        <f>2*0.32*4</f>
        <v>2.56</v>
      </c>
      <c r="K80" s="312">
        <v>0</v>
      </c>
      <c r="L80" s="69">
        <f>K80*J80</f>
        <v>0</v>
      </c>
      <c r="M80" s="312">
        <v>0</v>
      </c>
      <c r="N80" s="148" t="s">
        <v>606</v>
      </c>
    </row>
    <row r="81" spans="1:14" ht="18.5" x14ac:dyDescent="0.35">
      <c r="A81" s="470"/>
      <c r="B81" s="249"/>
      <c r="C81" s="259"/>
      <c r="D81" s="259"/>
      <c r="E81" s="251"/>
      <c r="F81" s="241"/>
      <c r="G81" s="216"/>
      <c r="H81" s="103" t="s">
        <v>595</v>
      </c>
      <c r="I81" s="68" t="s">
        <v>4</v>
      </c>
      <c r="J81" s="95">
        <f>3*0.05*4+2*0.32*0.05</f>
        <v>0.63200000000000012</v>
      </c>
      <c r="K81" s="312">
        <v>0</v>
      </c>
      <c r="L81" s="69">
        <f>K81*J81</f>
        <v>0</v>
      </c>
      <c r="M81" s="312">
        <v>0</v>
      </c>
      <c r="N81" s="148"/>
    </row>
    <row r="82" spans="1:14" ht="18.5" x14ac:dyDescent="0.35">
      <c r="A82" s="470"/>
      <c r="B82" s="249"/>
      <c r="C82" s="250"/>
      <c r="D82" s="250"/>
      <c r="E82" s="251"/>
      <c r="F82" s="217"/>
      <c r="G82" s="216"/>
      <c r="H82" s="103"/>
      <c r="I82" s="68"/>
      <c r="J82" s="95"/>
      <c r="K82" s="69"/>
      <c r="L82" s="69"/>
      <c r="M82" s="69"/>
      <c r="N82" s="148"/>
    </row>
    <row r="83" spans="1:14" x14ac:dyDescent="0.35">
      <c r="A83" s="470"/>
      <c r="B83" s="56"/>
      <c r="C83" s="8"/>
      <c r="D83" s="8"/>
      <c r="E83" s="8"/>
      <c r="F83" s="13"/>
      <c r="G83" s="161" t="s">
        <v>17</v>
      </c>
      <c r="H83" s="103" t="s">
        <v>36</v>
      </c>
      <c r="I83" s="68" t="s">
        <v>6</v>
      </c>
      <c r="J83" s="95">
        <v>8</v>
      </c>
      <c r="K83" s="312">
        <v>0</v>
      </c>
      <c r="L83" s="69">
        <f>K83*J83</f>
        <v>0</v>
      </c>
      <c r="M83" s="312">
        <v>0</v>
      </c>
      <c r="N83" s="148"/>
    </row>
    <row r="84" spans="1:14" x14ac:dyDescent="0.35">
      <c r="A84" s="470"/>
      <c r="B84" s="56"/>
      <c r="C84" s="8"/>
      <c r="D84" s="8"/>
      <c r="E84" s="8"/>
      <c r="F84" s="13"/>
      <c r="G84" s="161"/>
      <c r="H84" s="103"/>
      <c r="I84" s="68"/>
      <c r="J84" s="95"/>
      <c r="K84" s="69"/>
      <c r="L84" s="69"/>
      <c r="M84" s="69"/>
      <c r="N84" s="148"/>
    </row>
    <row r="85" spans="1:14" x14ac:dyDescent="0.35">
      <c r="A85" s="470"/>
      <c r="B85" s="56"/>
      <c r="C85" s="8"/>
      <c r="D85" s="8"/>
      <c r="E85" s="8"/>
      <c r="F85" s="13"/>
      <c r="G85" s="161" t="s">
        <v>18</v>
      </c>
      <c r="H85" s="103" t="s">
        <v>35</v>
      </c>
      <c r="I85" s="68" t="s">
        <v>4</v>
      </c>
      <c r="J85" s="95">
        <f>J80</f>
        <v>2.56</v>
      </c>
      <c r="K85" s="312">
        <v>0</v>
      </c>
      <c r="L85" s="69">
        <f>K85*J85</f>
        <v>0</v>
      </c>
      <c r="M85" s="312">
        <v>0</v>
      </c>
      <c r="N85" s="148" t="s">
        <v>519</v>
      </c>
    </row>
    <row r="86" spans="1:14" x14ac:dyDescent="0.35">
      <c r="A86" s="470"/>
      <c r="B86" s="56"/>
      <c r="C86" s="8"/>
      <c r="D86" s="8"/>
      <c r="E86" s="8"/>
      <c r="F86" s="13"/>
      <c r="G86" s="161"/>
      <c r="H86" s="103"/>
      <c r="I86" s="68"/>
      <c r="J86" s="95"/>
      <c r="K86" s="69"/>
      <c r="L86" s="69"/>
      <c r="M86" s="69"/>
      <c r="N86" s="148"/>
    </row>
    <row r="87" spans="1:14" x14ac:dyDescent="0.35">
      <c r="A87" s="470"/>
      <c r="B87" s="56"/>
      <c r="C87" s="8"/>
      <c r="D87" s="8"/>
      <c r="E87" s="8"/>
      <c r="F87" s="13"/>
      <c r="G87" s="13" t="s">
        <v>28</v>
      </c>
      <c r="H87" s="103" t="s">
        <v>367</v>
      </c>
      <c r="I87" s="68" t="s">
        <v>6</v>
      </c>
      <c r="J87" s="95">
        <v>3</v>
      </c>
      <c r="K87" s="312">
        <v>0</v>
      </c>
      <c r="L87" s="69">
        <f>K87*J87</f>
        <v>0</v>
      </c>
      <c r="M87" s="312">
        <v>0</v>
      </c>
      <c r="N87" s="148"/>
    </row>
    <row r="88" spans="1:14" x14ac:dyDescent="0.35">
      <c r="A88" s="470"/>
      <c r="B88" s="56"/>
      <c r="C88" s="8"/>
      <c r="D88" s="8"/>
      <c r="E88" s="8"/>
      <c r="F88" s="13"/>
      <c r="G88" s="13"/>
      <c r="H88" s="103"/>
      <c r="I88" s="68"/>
      <c r="J88" s="95"/>
      <c r="K88" s="69"/>
      <c r="L88" s="69"/>
      <c r="M88" s="69"/>
      <c r="N88" s="148"/>
    </row>
    <row r="89" spans="1:14" ht="15.5" x14ac:dyDescent="0.35">
      <c r="A89" s="470"/>
      <c r="B89" s="76"/>
      <c r="C89" s="77"/>
      <c r="D89" s="77"/>
      <c r="E89" s="77"/>
      <c r="F89" s="30"/>
      <c r="G89" s="31"/>
      <c r="H89" s="32" t="s">
        <v>459</v>
      </c>
      <c r="I89" s="33"/>
      <c r="J89" s="98"/>
      <c r="K89" s="34"/>
      <c r="L89" s="137">
        <f>SUM(L80:L87)</f>
        <v>0</v>
      </c>
      <c r="M89" s="137">
        <f>SUM(M80:M87)</f>
        <v>0</v>
      </c>
      <c r="N89" s="148"/>
    </row>
    <row r="90" spans="1:14" ht="15" thickBot="1" x14ac:dyDescent="0.4">
      <c r="A90" s="470"/>
      <c r="B90" s="56"/>
      <c r="C90" s="8"/>
      <c r="D90" s="8"/>
      <c r="E90" s="8"/>
      <c r="F90" s="8"/>
      <c r="G90" s="8"/>
      <c r="H90" s="141"/>
      <c r="I90" s="141"/>
      <c r="J90" s="162"/>
      <c r="K90" s="141"/>
      <c r="L90" s="141"/>
      <c r="M90" s="141"/>
      <c r="N90" s="148"/>
    </row>
    <row r="91" spans="1:14" ht="19" thickBot="1" x14ac:dyDescent="0.4">
      <c r="A91" s="470"/>
      <c r="B91" s="453" t="s">
        <v>37</v>
      </c>
      <c r="C91" s="454"/>
      <c r="D91" s="454"/>
      <c r="E91" s="454"/>
      <c r="F91" s="454"/>
      <c r="G91" s="140"/>
      <c r="H91" s="140" t="s">
        <v>459</v>
      </c>
      <c r="I91" s="50"/>
      <c r="J91" s="94"/>
      <c r="K91" s="51"/>
      <c r="L91" s="52">
        <f>SUM(L89)+L78+L68+L46</f>
        <v>0</v>
      </c>
      <c r="M91" s="53">
        <f>SUM(M89)+M78+M68+M46</f>
        <v>0</v>
      </c>
      <c r="N91" s="148"/>
    </row>
    <row r="92" spans="1:14" ht="19" thickBot="1" x14ac:dyDescent="0.4">
      <c r="A92" s="471"/>
      <c r="B92" s="58"/>
      <c r="C92" s="21"/>
      <c r="D92" s="21"/>
      <c r="E92" s="14"/>
      <c r="F92" s="15"/>
      <c r="G92" s="15"/>
      <c r="H92" s="16"/>
      <c r="I92" s="17"/>
      <c r="J92" s="96"/>
      <c r="K92" s="277"/>
      <c r="L92" s="278"/>
      <c r="M92" s="276"/>
      <c r="N92" s="148"/>
    </row>
    <row r="93" spans="1:14" ht="18.5" x14ac:dyDescent="0.35">
      <c r="A93" s="469" t="s">
        <v>39</v>
      </c>
      <c r="B93" s="56"/>
      <c r="C93" s="20"/>
      <c r="D93" s="20"/>
      <c r="E93" s="8"/>
      <c r="F93" s="13"/>
      <c r="G93" s="13"/>
      <c r="H93" s="141"/>
      <c r="I93" s="68"/>
      <c r="J93" s="95"/>
      <c r="K93" s="69"/>
      <c r="L93" s="69"/>
      <c r="M93" s="69"/>
      <c r="N93" s="146"/>
    </row>
    <row r="94" spans="1:14" ht="18.75" customHeight="1" x14ac:dyDescent="0.35">
      <c r="A94" s="470"/>
      <c r="B94" s="57">
        <v>177</v>
      </c>
      <c r="C94" s="35" t="s">
        <v>38</v>
      </c>
      <c r="D94" s="35" t="s">
        <v>10</v>
      </c>
      <c r="E94" s="40"/>
      <c r="F94" s="160" t="s">
        <v>15</v>
      </c>
      <c r="G94" s="161"/>
      <c r="H94" s="103" t="s">
        <v>528</v>
      </c>
      <c r="I94" s="68" t="s">
        <v>4</v>
      </c>
      <c r="J94" s="95">
        <f>3.22*1.75*4+4*0.8*1.75</f>
        <v>28.140000000000004</v>
      </c>
      <c r="K94" s="312">
        <v>0</v>
      </c>
      <c r="L94" s="69">
        <f>K94*J94</f>
        <v>0</v>
      </c>
      <c r="M94" s="312">
        <v>0</v>
      </c>
      <c r="N94" s="148"/>
    </row>
    <row r="95" spans="1:14" x14ac:dyDescent="0.35">
      <c r="A95" s="470"/>
      <c r="B95" s="56"/>
      <c r="C95" s="8"/>
      <c r="D95" s="8"/>
      <c r="E95" s="8"/>
      <c r="F95" s="13"/>
      <c r="G95" s="13"/>
      <c r="H95" s="103"/>
      <c r="I95" s="68"/>
      <c r="J95" s="95"/>
      <c r="K95" s="69"/>
      <c r="L95" s="69"/>
      <c r="M95" s="69"/>
      <c r="N95" s="148"/>
    </row>
    <row r="96" spans="1:14" ht="15.5" x14ac:dyDescent="0.35">
      <c r="A96" s="470"/>
      <c r="B96" s="76"/>
      <c r="C96" s="77"/>
      <c r="D96" s="77"/>
      <c r="E96" s="77"/>
      <c r="F96" s="25"/>
      <c r="G96" s="64"/>
      <c r="H96" s="65" t="s">
        <v>459</v>
      </c>
      <c r="I96" s="66"/>
      <c r="J96" s="102"/>
      <c r="K96" s="67"/>
      <c r="L96" s="89">
        <f>SUM(L94:L94)</f>
        <v>0</v>
      </c>
      <c r="M96" s="89">
        <f>SUM(M94:M94)</f>
        <v>0</v>
      </c>
      <c r="N96" s="148"/>
    </row>
    <row r="97" spans="1:14" x14ac:dyDescent="0.35">
      <c r="A97" s="470"/>
      <c r="B97" s="56"/>
      <c r="C97" s="8"/>
      <c r="D97" s="8"/>
      <c r="E97" s="8"/>
      <c r="F97" s="28"/>
      <c r="G97" s="28"/>
      <c r="H97" s="29"/>
      <c r="I97" s="29"/>
      <c r="J97" s="97"/>
      <c r="K97" s="29"/>
      <c r="L97" s="29"/>
      <c r="M97" s="29"/>
      <c r="N97" s="148"/>
    </row>
    <row r="98" spans="1:14" ht="18.5" x14ac:dyDescent="0.35">
      <c r="A98" s="470"/>
      <c r="B98" s="57">
        <v>178</v>
      </c>
      <c r="C98" s="35" t="s">
        <v>38</v>
      </c>
      <c r="D98" s="35" t="s">
        <v>12</v>
      </c>
      <c r="E98" s="40"/>
      <c r="F98" s="160" t="s">
        <v>31</v>
      </c>
      <c r="G98" s="161"/>
      <c r="H98" s="103" t="s">
        <v>528</v>
      </c>
      <c r="I98" s="68" t="s">
        <v>4</v>
      </c>
      <c r="J98" s="95">
        <f>1.95+0.45*(2.165+2.65+1.84+1.405)+2*0.255*0.45</f>
        <v>5.8064999999999989</v>
      </c>
      <c r="K98" s="312">
        <v>0</v>
      </c>
      <c r="L98" s="69">
        <f>K98*J98</f>
        <v>0</v>
      </c>
      <c r="M98" s="312">
        <v>0</v>
      </c>
      <c r="N98" s="148"/>
    </row>
    <row r="99" spans="1:14" x14ac:dyDescent="0.35">
      <c r="A99" s="470"/>
      <c r="B99" s="56"/>
      <c r="C99" s="8"/>
      <c r="D99" s="8"/>
      <c r="E99" s="8"/>
      <c r="F99" s="13"/>
      <c r="G99" s="13"/>
      <c r="H99" s="103"/>
      <c r="I99" s="68"/>
      <c r="J99" s="95"/>
      <c r="K99" s="69"/>
      <c r="L99" s="69"/>
      <c r="M99" s="69"/>
      <c r="N99" s="148"/>
    </row>
    <row r="100" spans="1:14" ht="15.5" x14ac:dyDescent="0.35">
      <c r="A100" s="470"/>
      <c r="B100" s="76"/>
      <c r="C100" s="77"/>
      <c r="D100" s="77"/>
      <c r="E100" s="77"/>
      <c r="F100" s="30"/>
      <c r="G100" s="31"/>
      <c r="H100" s="32" t="s">
        <v>459</v>
      </c>
      <c r="I100" s="33"/>
      <c r="J100" s="98"/>
      <c r="K100" s="34"/>
      <c r="L100" s="137">
        <f>SUM(L98:L98)</f>
        <v>0</v>
      </c>
      <c r="M100" s="137">
        <f>SUM(M98:M98)</f>
        <v>0</v>
      </c>
      <c r="N100" s="148"/>
    </row>
    <row r="101" spans="1:14" x14ac:dyDescent="0.35">
      <c r="A101" s="470"/>
      <c r="B101" s="56"/>
      <c r="C101" s="8"/>
      <c r="D101" s="8"/>
      <c r="E101" s="8"/>
      <c r="F101" s="8"/>
      <c r="G101" s="8"/>
      <c r="H101" s="141"/>
      <c r="I101" s="141"/>
      <c r="J101" s="162"/>
      <c r="K101" s="141"/>
      <c r="L101" s="141"/>
      <c r="M101" s="141"/>
      <c r="N101" s="148"/>
    </row>
    <row r="102" spans="1:14" ht="18.5" x14ac:dyDescent="0.35">
      <c r="A102" s="470"/>
      <c r="B102" s="57">
        <v>179</v>
      </c>
      <c r="C102" s="35" t="s">
        <v>38</v>
      </c>
      <c r="D102" s="35" t="s">
        <v>23</v>
      </c>
      <c r="E102" s="40"/>
      <c r="F102" s="160" t="s">
        <v>32</v>
      </c>
      <c r="G102" s="161"/>
      <c r="H102" s="103" t="s">
        <v>42</v>
      </c>
      <c r="I102" s="68" t="s">
        <v>4</v>
      </c>
      <c r="J102" s="95">
        <f>0.75*0.75</f>
        <v>0.5625</v>
      </c>
      <c r="K102" s="312">
        <v>0</v>
      </c>
      <c r="L102" s="69">
        <f>K102*J102</f>
        <v>0</v>
      </c>
      <c r="M102" s="312">
        <v>0</v>
      </c>
      <c r="N102" s="148"/>
    </row>
    <row r="103" spans="1:14" x14ac:dyDescent="0.35">
      <c r="A103" s="470"/>
      <c r="B103" s="56"/>
      <c r="C103" s="8"/>
      <c r="D103" s="8"/>
      <c r="E103" s="8"/>
      <c r="F103" s="13"/>
      <c r="G103" s="13"/>
      <c r="H103" s="103"/>
      <c r="I103" s="68"/>
      <c r="J103" s="95"/>
      <c r="K103" s="69"/>
      <c r="L103" s="69"/>
      <c r="M103" s="69"/>
      <c r="N103" s="148"/>
    </row>
    <row r="104" spans="1:14" ht="15.5" x14ac:dyDescent="0.35">
      <c r="A104" s="470"/>
      <c r="B104" s="76"/>
      <c r="C104" s="77"/>
      <c r="D104" s="77"/>
      <c r="E104" s="77"/>
      <c r="F104" s="30"/>
      <c r="G104" s="31"/>
      <c r="H104" s="32" t="s">
        <v>459</v>
      </c>
      <c r="I104" s="33"/>
      <c r="J104" s="98"/>
      <c r="K104" s="34"/>
      <c r="L104" s="137">
        <f>SUM(L102:L102)</f>
        <v>0</v>
      </c>
      <c r="M104" s="137">
        <f>SUM(M102:M102)</f>
        <v>0</v>
      </c>
      <c r="N104" s="148"/>
    </row>
    <row r="105" spans="1:14" x14ac:dyDescent="0.35">
      <c r="A105" s="470"/>
      <c r="B105" s="56"/>
      <c r="C105" s="8"/>
      <c r="D105" s="8"/>
      <c r="E105" s="8"/>
      <c r="F105" s="28"/>
      <c r="G105" s="28"/>
      <c r="H105" s="29"/>
      <c r="I105" s="29"/>
      <c r="J105" s="97"/>
      <c r="K105" s="29"/>
      <c r="L105" s="29"/>
      <c r="M105" s="29"/>
      <c r="N105" s="148"/>
    </row>
    <row r="106" spans="1:14" ht="18.5" x14ac:dyDescent="0.35">
      <c r="A106" s="470"/>
      <c r="B106" s="57">
        <v>180</v>
      </c>
      <c r="C106" s="35" t="s">
        <v>38</v>
      </c>
      <c r="D106" s="35" t="s">
        <v>33</v>
      </c>
      <c r="E106" s="40"/>
      <c r="F106" s="160" t="s">
        <v>34</v>
      </c>
      <c r="G106" s="161"/>
      <c r="H106" s="103" t="s">
        <v>528</v>
      </c>
      <c r="I106" s="68" t="s">
        <v>4</v>
      </c>
      <c r="J106" s="95">
        <f>0.32*4</f>
        <v>1.28</v>
      </c>
      <c r="K106" s="312">
        <v>0</v>
      </c>
      <c r="L106" s="69">
        <f>K106*J106</f>
        <v>0</v>
      </c>
      <c r="M106" s="312">
        <v>0</v>
      </c>
      <c r="N106" s="148"/>
    </row>
    <row r="107" spans="1:14" x14ac:dyDescent="0.35">
      <c r="A107" s="470"/>
      <c r="B107" s="56"/>
      <c r="C107" s="8"/>
      <c r="D107" s="8"/>
      <c r="E107" s="8"/>
      <c r="F107" s="13"/>
      <c r="G107" s="13"/>
      <c r="H107" s="103"/>
      <c r="I107" s="68"/>
      <c r="J107" s="95"/>
      <c r="K107" s="69"/>
      <c r="L107" s="69"/>
      <c r="M107" s="69"/>
      <c r="N107" s="148"/>
    </row>
    <row r="108" spans="1:14" ht="15.5" x14ac:dyDescent="0.35">
      <c r="A108" s="470"/>
      <c r="B108" s="76"/>
      <c r="C108" s="77"/>
      <c r="D108" s="77"/>
      <c r="E108" s="77"/>
      <c r="F108" s="30"/>
      <c r="G108" s="31"/>
      <c r="H108" s="32" t="s">
        <v>459</v>
      </c>
      <c r="I108" s="33"/>
      <c r="J108" s="98"/>
      <c r="K108" s="34"/>
      <c r="L108" s="137">
        <f>SUM(L106:L106)</f>
        <v>0</v>
      </c>
      <c r="M108" s="137">
        <f>SUM(M106:M106)</f>
        <v>0</v>
      </c>
      <c r="N108" s="148"/>
    </row>
    <row r="109" spans="1:14" x14ac:dyDescent="0.35">
      <c r="A109" s="470"/>
      <c r="B109" s="56"/>
      <c r="C109" s="8"/>
      <c r="D109" s="8"/>
      <c r="E109" s="8"/>
      <c r="F109" s="28"/>
      <c r="G109" s="28"/>
      <c r="H109" s="29"/>
      <c r="I109" s="29"/>
      <c r="J109" s="97"/>
      <c r="K109" s="29"/>
      <c r="L109" s="29"/>
      <c r="M109" s="29"/>
      <c r="N109" s="148"/>
    </row>
    <row r="110" spans="1:14" ht="18.5" x14ac:dyDescent="0.35">
      <c r="A110" s="470"/>
      <c r="B110" s="57">
        <v>181</v>
      </c>
      <c r="C110" s="35" t="s">
        <v>38</v>
      </c>
      <c r="D110" s="35" t="s">
        <v>44</v>
      </c>
      <c r="E110" s="40"/>
      <c r="F110" s="160" t="s">
        <v>103</v>
      </c>
      <c r="G110" s="161"/>
      <c r="H110" s="103" t="s">
        <v>584</v>
      </c>
      <c r="I110" s="68" t="s">
        <v>6</v>
      </c>
      <c r="J110" s="95">
        <v>20</v>
      </c>
      <c r="K110" s="312">
        <v>0</v>
      </c>
      <c r="L110" s="220"/>
      <c r="M110" s="316">
        <f>J110*K110</f>
        <v>0</v>
      </c>
      <c r="N110" s="148" t="s">
        <v>711</v>
      </c>
    </row>
    <row r="111" spans="1:14" x14ac:dyDescent="0.35">
      <c r="A111" s="470"/>
      <c r="B111" s="56"/>
      <c r="C111" s="8"/>
      <c r="D111" s="8"/>
      <c r="E111" s="8"/>
      <c r="F111" s="13"/>
      <c r="G111" s="13"/>
      <c r="H111" s="103"/>
      <c r="I111" s="68"/>
      <c r="J111" s="95"/>
      <c r="K111" s="69"/>
      <c r="L111" s="69"/>
      <c r="M111" s="69"/>
      <c r="N111" s="148"/>
    </row>
    <row r="112" spans="1:14" ht="15.5" x14ac:dyDescent="0.35">
      <c r="A112" s="470"/>
      <c r="B112" s="76"/>
      <c r="C112" s="77"/>
      <c r="D112" s="77"/>
      <c r="E112" s="77"/>
      <c r="F112" s="30"/>
      <c r="G112" s="31"/>
      <c r="H112" s="32" t="s">
        <v>459</v>
      </c>
      <c r="I112" s="33"/>
      <c r="J112" s="98"/>
      <c r="K112" s="34"/>
      <c r="L112" s="137">
        <f>SUM(L110)</f>
        <v>0</v>
      </c>
      <c r="M112" s="137">
        <f>SUM(M110)</f>
        <v>0</v>
      </c>
      <c r="N112" s="148"/>
    </row>
    <row r="113" spans="1:14" ht="15" thickBot="1" x14ac:dyDescent="0.4">
      <c r="A113" s="470"/>
      <c r="B113" s="56"/>
      <c r="C113" s="8"/>
      <c r="D113" s="8"/>
      <c r="E113" s="8"/>
      <c r="F113" s="8"/>
      <c r="G113" s="8"/>
      <c r="H113" s="141"/>
      <c r="I113" s="141"/>
      <c r="J113" s="162"/>
      <c r="K113" s="141"/>
      <c r="L113" s="141"/>
      <c r="M113" s="141"/>
      <c r="N113" s="148"/>
    </row>
    <row r="114" spans="1:14" ht="19" thickBot="1" x14ac:dyDescent="0.4">
      <c r="A114" s="470"/>
      <c r="B114" s="453" t="s">
        <v>43</v>
      </c>
      <c r="C114" s="454"/>
      <c r="D114" s="454"/>
      <c r="E114" s="454"/>
      <c r="F114" s="454"/>
      <c r="G114" s="140"/>
      <c r="H114" s="140" t="s">
        <v>459</v>
      </c>
      <c r="I114" s="50"/>
      <c r="J114" s="94"/>
      <c r="K114" s="51"/>
      <c r="L114" s="52">
        <f>SUM(L108)+L104+L100+L96+L112</f>
        <v>0</v>
      </c>
      <c r="M114" s="53">
        <f>SUM(M108)+M104+M100+M96+M112</f>
        <v>0</v>
      </c>
      <c r="N114" s="148"/>
    </row>
    <row r="115" spans="1:14" ht="19" thickBot="1" x14ac:dyDescent="0.4">
      <c r="A115" s="471"/>
      <c r="B115" s="58"/>
      <c r="C115" s="21"/>
      <c r="D115" s="21"/>
      <c r="E115" s="14"/>
      <c r="F115" s="15"/>
      <c r="G115" s="15"/>
      <c r="H115" s="16"/>
      <c r="I115" s="17"/>
      <c r="J115" s="96"/>
      <c r="K115" s="277"/>
      <c r="L115" s="278"/>
      <c r="M115" s="276"/>
      <c r="N115" s="148"/>
    </row>
    <row r="116" spans="1:14" ht="18.5" x14ac:dyDescent="0.35">
      <c r="A116" s="469" t="s">
        <v>46</v>
      </c>
      <c r="B116" s="56"/>
      <c r="C116" s="20"/>
      <c r="D116" s="20"/>
      <c r="E116" s="8"/>
      <c r="F116" s="13"/>
      <c r="G116" s="13"/>
      <c r="H116" s="141"/>
      <c r="I116" s="68"/>
      <c r="J116" s="95"/>
      <c r="K116" s="69"/>
      <c r="L116" s="69"/>
      <c r="M116" s="69"/>
      <c r="N116" s="146"/>
    </row>
    <row r="117" spans="1:14" ht="18.75" customHeight="1" x14ac:dyDescent="0.35">
      <c r="A117" s="470"/>
      <c r="B117" s="57">
        <v>182</v>
      </c>
      <c r="C117" s="35" t="s">
        <v>47</v>
      </c>
      <c r="D117" s="35" t="s">
        <v>332</v>
      </c>
      <c r="E117" s="40"/>
      <c r="F117" s="160" t="s">
        <v>601</v>
      </c>
      <c r="G117" s="161" t="s">
        <v>325</v>
      </c>
      <c r="H117" s="103" t="s">
        <v>582</v>
      </c>
      <c r="I117" s="68" t="s">
        <v>6</v>
      </c>
      <c r="J117" s="95">
        <v>6</v>
      </c>
      <c r="K117" s="312">
        <v>0</v>
      </c>
      <c r="L117" s="69">
        <f>K117*J117</f>
        <v>0</v>
      </c>
      <c r="M117" s="312">
        <v>0</v>
      </c>
      <c r="N117" s="148"/>
    </row>
    <row r="118" spans="1:14" x14ac:dyDescent="0.35">
      <c r="A118" s="470"/>
      <c r="B118" s="56"/>
      <c r="C118" s="8"/>
      <c r="D118" s="8"/>
      <c r="E118" s="8"/>
      <c r="F118" s="13"/>
      <c r="G118" s="13"/>
      <c r="H118" s="103"/>
      <c r="I118" s="68"/>
      <c r="J118" s="95"/>
      <c r="K118" s="69"/>
      <c r="L118" s="69"/>
      <c r="M118" s="69"/>
      <c r="N118" s="148"/>
    </row>
    <row r="119" spans="1:14" ht="15.5" x14ac:dyDescent="0.35">
      <c r="A119" s="470"/>
      <c r="B119" s="76"/>
      <c r="C119" s="77"/>
      <c r="D119" s="77"/>
      <c r="E119" s="77"/>
      <c r="F119" s="30"/>
      <c r="G119" s="31"/>
      <c r="H119" s="32" t="s">
        <v>459</v>
      </c>
      <c r="I119" s="33"/>
      <c r="J119" s="98"/>
      <c r="K119" s="34"/>
      <c r="L119" s="137">
        <f>SUM(L117:L117)</f>
        <v>0</v>
      </c>
      <c r="M119" s="137">
        <f>SUM(M117:M117)</f>
        <v>0</v>
      </c>
      <c r="N119" s="148"/>
    </row>
    <row r="120" spans="1:14" s="74" customFormat="1" ht="18.5" x14ac:dyDescent="0.35">
      <c r="A120" s="470"/>
      <c r="B120" s="56"/>
      <c r="C120" s="20"/>
      <c r="D120" s="20"/>
      <c r="E120" s="8"/>
      <c r="F120" s="13"/>
      <c r="G120" s="13"/>
      <c r="H120" s="141"/>
      <c r="I120" s="68"/>
      <c r="J120" s="95"/>
      <c r="K120" s="69"/>
      <c r="L120" s="69"/>
      <c r="M120" s="69"/>
      <c r="N120" s="148"/>
    </row>
    <row r="121" spans="1:14" s="74" customFormat="1" ht="18.75" customHeight="1" x14ac:dyDescent="0.35">
      <c r="A121" s="470"/>
      <c r="B121" s="57">
        <v>183</v>
      </c>
      <c r="C121" s="35" t="s">
        <v>47</v>
      </c>
      <c r="D121" s="35" t="s">
        <v>330</v>
      </c>
      <c r="E121" s="40"/>
      <c r="F121" s="160" t="s">
        <v>601</v>
      </c>
      <c r="G121" s="161" t="s">
        <v>333</v>
      </c>
      <c r="H121" s="103" t="s">
        <v>596</v>
      </c>
      <c r="I121" s="68" t="s">
        <v>6</v>
      </c>
      <c r="J121" s="95">
        <v>2</v>
      </c>
      <c r="K121" s="312">
        <v>0</v>
      </c>
      <c r="L121" s="69">
        <f>K121*J121</f>
        <v>0</v>
      </c>
      <c r="M121" s="312">
        <v>0</v>
      </c>
      <c r="N121" s="148"/>
    </row>
    <row r="122" spans="1:14" s="74" customFormat="1" ht="18.5" x14ac:dyDescent="0.35">
      <c r="A122" s="470"/>
      <c r="B122" s="56"/>
      <c r="C122" s="8"/>
      <c r="D122" s="20"/>
      <c r="E122" s="8"/>
      <c r="F122" s="13"/>
      <c r="G122" s="13"/>
      <c r="H122" s="103"/>
      <c r="I122" s="68"/>
      <c r="J122" s="95"/>
      <c r="K122" s="69"/>
      <c r="L122" s="69"/>
      <c r="M122" s="69"/>
      <c r="N122" s="148"/>
    </row>
    <row r="123" spans="1:14" s="74" customFormat="1" ht="18.5" x14ac:dyDescent="0.35">
      <c r="A123" s="470"/>
      <c r="B123" s="76"/>
      <c r="C123" s="77"/>
      <c r="D123" s="91"/>
      <c r="E123" s="77"/>
      <c r="F123" s="30"/>
      <c r="G123" s="31"/>
      <c r="H123" s="32" t="s">
        <v>459</v>
      </c>
      <c r="I123" s="33"/>
      <c r="J123" s="98"/>
      <c r="K123" s="34"/>
      <c r="L123" s="137">
        <f>SUM(L121:L121)</f>
        <v>0</v>
      </c>
      <c r="M123" s="137">
        <f>SUM(M121:M121)</f>
        <v>0</v>
      </c>
      <c r="N123" s="148"/>
    </row>
    <row r="124" spans="1:14" s="74" customFormat="1" ht="18.5" x14ac:dyDescent="0.35">
      <c r="A124" s="470"/>
      <c r="B124" s="56"/>
      <c r="C124" s="20"/>
      <c r="D124" s="20"/>
      <c r="E124" s="8"/>
      <c r="F124" s="13"/>
      <c r="G124" s="13"/>
      <c r="H124" s="141"/>
      <c r="I124" s="68"/>
      <c r="J124" s="95"/>
      <c r="K124" s="69"/>
      <c r="L124" s="69"/>
      <c r="M124" s="69"/>
      <c r="N124" s="148"/>
    </row>
    <row r="125" spans="1:14" s="74" customFormat="1" ht="18.75" customHeight="1" x14ac:dyDescent="0.35">
      <c r="A125" s="470"/>
      <c r="B125" s="57">
        <v>184</v>
      </c>
      <c r="C125" s="35" t="s">
        <v>47</v>
      </c>
      <c r="D125" s="35" t="s">
        <v>331</v>
      </c>
      <c r="E125" s="40"/>
      <c r="F125" s="160" t="s">
        <v>334</v>
      </c>
      <c r="G125" s="161" t="s">
        <v>53</v>
      </c>
      <c r="H125" s="103" t="s">
        <v>597</v>
      </c>
      <c r="I125" s="68" t="s">
        <v>6</v>
      </c>
      <c r="J125" s="95">
        <v>4</v>
      </c>
      <c r="K125" s="312">
        <v>0</v>
      </c>
      <c r="L125" s="69">
        <f>K125*J125</f>
        <v>0</v>
      </c>
      <c r="M125" s="312">
        <v>0</v>
      </c>
      <c r="N125" s="148"/>
    </row>
    <row r="126" spans="1:14" s="74" customFormat="1" x14ac:dyDescent="0.35">
      <c r="A126" s="470"/>
      <c r="B126" s="56"/>
      <c r="C126" s="8"/>
      <c r="D126" s="8"/>
      <c r="E126" s="8"/>
      <c r="F126" s="13"/>
      <c r="G126" s="13"/>
      <c r="H126" s="103"/>
      <c r="I126" s="68"/>
      <c r="J126" s="95"/>
      <c r="K126" s="69"/>
      <c r="L126" s="69"/>
      <c r="M126" s="69"/>
      <c r="N126" s="148"/>
    </row>
    <row r="127" spans="1:14" s="74" customFormat="1" ht="15.5" x14ac:dyDescent="0.35">
      <c r="A127" s="470"/>
      <c r="B127" s="76"/>
      <c r="C127" s="77"/>
      <c r="D127" s="77"/>
      <c r="E127" s="77"/>
      <c r="F127" s="30"/>
      <c r="G127" s="31"/>
      <c r="H127" s="32" t="s">
        <v>459</v>
      </c>
      <c r="I127" s="33"/>
      <c r="J127" s="98"/>
      <c r="K127" s="34"/>
      <c r="L127" s="137">
        <f>SUM(L125:L125)</f>
        <v>0</v>
      </c>
      <c r="M127" s="137">
        <f>SUM(M125:M125)</f>
        <v>0</v>
      </c>
      <c r="N127" s="148"/>
    </row>
    <row r="128" spans="1:14" s="74" customFormat="1" ht="18.5" x14ac:dyDescent="0.35">
      <c r="A128" s="470"/>
      <c r="B128" s="56"/>
      <c r="C128" s="20"/>
      <c r="D128" s="20"/>
      <c r="E128" s="8"/>
      <c r="F128" s="13"/>
      <c r="G128" s="13"/>
      <c r="H128" s="141"/>
      <c r="I128" s="68"/>
      <c r="J128" s="95"/>
      <c r="K128" s="69"/>
      <c r="L128" s="69"/>
      <c r="M128" s="69"/>
      <c r="N128" s="148"/>
    </row>
    <row r="129" spans="1:14" s="74" customFormat="1" ht="18.75" customHeight="1" x14ac:dyDescent="0.35">
      <c r="A129" s="470"/>
      <c r="B129" s="57">
        <v>185</v>
      </c>
      <c r="C129" s="35" t="s">
        <v>47</v>
      </c>
      <c r="D129" s="35" t="s">
        <v>329</v>
      </c>
      <c r="E129" s="40"/>
      <c r="F129" s="160" t="s">
        <v>334</v>
      </c>
      <c r="G129" s="161" t="s">
        <v>54</v>
      </c>
      <c r="H129" s="103" t="s">
        <v>598</v>
      </c>
      <c r="I129" s="68" t="s">
        <v>6</v>
      </c>
      <c r="J129" s="95">
        <v>5</v>
      </c>
      <c r="K129" s="312">
        <v>0</v>
      </c>
      <c r="L129" s="69">
        <f>K129*J129</f>
        <v>0</v>
      </c>
      <c r="M129" s="312">
        <v>0</v>
      </c>
      <c r="N129" s="148"/>
    </row>
    <row r="130" spans="1:14" s="74" customFormat="1" x14ac:dyDescent="0.35">
      <c r="A130" s="470"/>
      <c r="B130" s="56"/>
      <c r="C130" s="8"/>
      <c r="D130" s="8"/>
      <c r="E130" s="8"/>
      <c r="F130" s="13"/>
      <c r="G130" s="13"/>
      <c r="H130" s="103"/>
      <c r="I130" s="68"/>
      <c r="J130" s="95"/>
      <c r="K130" s="69"/>
      <c r="L130" s="69"/>
      <c r="M130" s="69"/>
      <c r="N130" s="148"/>
    </row>
    <row r="131" spans="1:14" s="74" customFormat="1" ht="15.5" x14ac:dyDescent="0.35">
      <c r="A131" s="470"/>
      <c r="B131" s="76"/>
      <c r="C131" s="77"/>
      <c r="D131" s="77"/>
      <c r="E131" s="77"/>
      <c r="F131" s="25"/>
      <c r="G131" s="64"/>
      <c r="H131" s="65" t="s">
        <v>459</v>
      </c>
      <c r="I131" s="66"/>
      <c r="J131" s="102"/>
      <c r="K131" s="67"/>
      <c r="L131" s="89">
        <f>SUM(L129:L129)</f>
        <v>0</v>
      </c>
      <c r="M131" s="89">
        <f>SUM(M129:M129)</f>
        <v>0</v>
      </c>
      <c r="N131" s="148"/>
    </row>
    <row r="132" spans="1:14" x14ac:dyDescent="0.35">
      <c r="A132" s="470"/>
      <c r="B132" s="56"/>
      <c r="C132" s="8"/>
      <c r="D132" s="8"/>
      <c r="E132" s="8"/>
      <c r="F132" s="28"/>
      <c r="G132" s="28"/>
      <c r="H132" s="29"/>
      <c r="I132" s="29"/>
      <c r="J132" s="97"/>
      <c r="K132" s="29"/>
      <c r="L132" s="29"/>
      <c r="M132" s="29"/>
      <c r="N132" s="148"/>
    </row>
    <row r="133" spans="1:14" ht="18.5" x14ac:dyDescent="0.35">
      <c r="A133" s="470"/>
      <c r="B133" s="57">
        <v>186</v>
      </c>
      <c r="C133" s="35" t="s">
        <v>47</v>
      </c>
      <c r="D133" s="35" t="s">
        <v>335</v>
      </c>
      <c r="E133" s="40"/>
      <c r="F133" s="160" t="s">
        <v>601</v>
      </c>
      <c r="G133" s="161" t="s">
        <v>49</v>
      </c>
      <c r="H133" s="103" t="s">
        <v>602</v>
      </c>
      <c r="I133" s="68" t="s">
        <v>6</v>
      </c>
      <c r="J133" s="95">
        <v>8</v>
      </c>
      <c r="K133" s="312">
        <v>0</v>
      </c>
      <c r="L133" s="69">
        <f>K133*J133</f>
        <v>0</v>
      </c>
      <c r="M133" s="312">
        <v>0</v>
      </c>
      <c r="N133" s="148"/>
    </row>
    <row r="134" spans="1:14" x14ac:dyDescent="0.35">
      <c r="A134" s="470"/>
      <c r="B134" s="56"/>
      <c r="C134" s="8"/>
      <c r="D134" s="8"/>
      <c r="E134" s="8"/>
      <c r="F134" s="13"/>
      <c r="G134" s="13"/>
      <c r="H134" s="103"/>
      <c r="I134" s="68"/>
      <c r="J134" s="95"/>
      <c r="K134" s="69"/>
      <c r="L134" s="69"/>
      <c r="M134" s="69"/>
      <c r="N134" s="148"/>
    </row>
    <row r="135" spans="1:14" ht="15.5" x14ac:dyDescent="0.35">
      <c r="A135" s="470"/>
      <c r="B135" s="76"/>
      <c r="C135" s="77"/>
      <c r="D135" s="77"/>
      <c r="E135" s="77"/>
      <c r="F135" s="30"/>
      <c r="G135" s="31"/>
      <c r="H135" s="32" t="s">
        <v>459</v>
      </c>
      <c r="I135" s="33"/>
      <c r="J135" s="98"/>
      <c r="K135" s="34"/>
      <c r="L135" s="137">
        <f>SUM(L133:L133)</f>
        <v>0</v>
      </c>
      <c r="M135" s="137">
        <f>SUM(M133:M133)</f>
        <v>0</v>
      </c>
      <c r="N135" s="148"/>
    </row>
    <row r="136" spans="1:14" s="74" customFormat="1" ht="18.5" x14ac:dyDescent="0.35">
      <c r="A136" s="470"/>
      <c r="B136" s="56"/>
      <c r="C136" s="20"/>
      <c r="D136" s="20"/>
      <c r="E136" s="8"/>
      <c r="F136" s="13"/>
      <c r="G136" s="13"/>
      <c r="H136" s="141"/>
      <c r="I136" s="68"/>
      <c r="J136" s="95"/>
      <c r="K136" s="69"/>
      <c r="L136" s="69"/>
      <c r="M136" s="69"/>
      <c r="N136" s="148"/>
    </row>
    <row r="137" spans="1:14" s="74" customFormat="1" ht="18.75" customHeight="1" x14ac:dyDescent="0.35">
      <c r="A137" s="470"/>
      <c r="B137" s="57">
        <v>187</v>
      </c>
      <c r="C137" s="35" t="s">
        <v>47</v>
      </c>
      <c r="D137" s="35" t="s">
        <v>336</v>
      </c>
      <c r="E137" s="40"/>
      <c r="F137" s="160" t="s">
        <v>52</v>
      </c>
      <c r="G137" s="161" t="s">
        <v>337</v>
      </c>
      <c r="H137" s="103" t="s">
        <v>338</v>
      </c>
      <c r="I137" s="68" t="s">
        <v>6</v>
      </c>
      <c r="J137" s="95">
        <v>14</v>
      </c>
      <c r="K137" s="312">
        <v>0</v>
      </c>
      <c r="L137" s="69">
        <f>K137*J137</f>
        <v>0</v>
      </c>
      <c r="M137" s="312">
        <v>0</v>
      </c>
      <c r="N137" s="148"/>
    </row>
    <row r="138" spans="1:14" s="74" customFormat="1" x14ac:dyDescent="0.35">
      <c r="A138" s="470"/>
      <c r="B138" s="56"/>
      <c r="C138" s="8"/>
      <c r="D138" s="8"/>
      <c r="E138" s="8"/>
      <c r="F138" s="13"/>
      <c r="G138" s="13"/>
      <c r="H138" s="103"/>
      <c r="I138" s="68"/>
      <c r="J138" s="95"/>
      <c r="K138" s="69"/>
      <c r="L138" s="69"/>
      <c r="M138" s="69"/>
      <c r="N138" s="148"/>
    </row>
    <row r="139" spans="1:14" s="74" customFormat="1" ht="15.5" x14ac:dyDescent="0.35">
      <c r="A139" s="470"/>
      <c r="B139" s="76"/>
      <c r="C139" s="77"/>
      <c r="D139" s="77"/>
      <c r="E139" s="77"/>
      <c r="F139" s="30"/>
      <c r="G139" s="31"/>
      <c r="H139" s="32" t="s">
        <v>459</v>
      </c>
      <c r="I139" s="33"/>
      <c r="J139" s="98"/>
      <c r="K139" s="34"/>
      <c r="L139" s="137">
        <f>SUM(L137:L137)</f>
        <v>0</v>
      </c>
      <c r="M139" s="137">
        <f>SUM(M137:M137)</f>
        <v>0</v>
      </c>
      <c r="N139" s="148"/>
    </row>
    <row r="140" spans="1:14" s="74" customFormat="1" ht="18.5" x14ac:dyDescent="0.35">
      <c r="A140" s="470"/>
      <c r="B140" s="56"/>
      <c r="C140" s="20"/>
      <c r="D140" s="20"/>
      <c r="E140" s="8"/>
      <c r="F140" s="13"/>
      <c r="G140" s="13"/>
      <c r="H140" s="141"/>
      <c r="I140" s="68"/>
      <c r="J140" s="95"/>
      <c r="K140" s="69"/>
      <c r="L140" s="69"/>
      <c r="M140" s="69"/>
      <c r="N140" s="148"/>
    </row>
    <row r="141" spans="1:14" s="74" customFormat="1" ht="18.75" customHeight="1" x14ac:dyDescent="0.35">
      <c r="A141" s="470"/>
      <c r="B141" s="57">
        <v>188</v>
      </c>
      <c r="C141" s="35" t="s">
        <v>47</v>
      </c>
      <c r="D141" s="35" t="s">
        <v>342</v>
      </c>
      <c r="E141" s="40"/>
      <c r="F141" s="160" t="s">
        <v>600</v>
      </c>
      <c r="G141" s="161" t="s">
        <v>341</v>
      </c>
      <c r="H141" s="103" t="s">
        <v>603</v>
      </c>
      <c r="I141" s="68" t="s">
        <v>5</v>
      </c>
      <c r="J141" s="95">
        <v>12</v>
      </c>
      <c r="K141" s="312">
        <v>0</v>
      </c>
      <c r="L141" s="69">
        <f>K141*J141</f>
        <v>0</v>
      </c>
      <c r="M141" s="312">
        <v>0</v>
      </c>
      <c r="N141" s="148"/>
    </row>
    <row r="142" spans="1:14" s="74" customFormat="1" x14ac:dyDescent="0.35">
      <c r="A142" s="470"/>
      <c r="B142" s="56"/>
      <c r="C142" s="8"/>
      <c r="D142" s="8"/>
      <c r="E142" s="8"/>
      <c r="F142" s="13"/>
      <c r="G142" s="13"/>
      <c r="H142" s="103"/>
      <c r="I142" s="68"/>
      <c r="J142" s="95"/>
      <c r="K142" s="69"/>
      <c r="L142" s="69"/>
      <c r="M142" s="69"/>
      <c r="N142" s="148"/>
    </row>
    <row r="143" spans="1:14" s="74" customFormat="1" ht="15.5" x14ac:dyDescent="0.35">
      <c r="A143" s="470"/>
      <c r="B143" s="76"/>
      <c r="C143" s="77"/>
      <c r="D143" s="77"/>
      <c r="E143" s="77"/>
      <c r="F143" s="30"/>
      <c r="G143" s="31"/>
      <c r="H143" s="32" t="s">
        <v>459</v>
      </c>
      <c r="I143" s="33"/>
      <c r="J143" s="98"/>
      <c r="K143" s="34"/>
      <c r="L143" s="137">
        <f>SUM(L141:L141)</f>
        <v>0</v>
      </c>
      <c r="M143" s="137">
        <f>SUM(M141:M141)</f>
        <v>0</v>
      </c>
      <c r="N143" s="148"/>
    </row>
    <row r="144" spans="1:14" x14ac:dyDescent="0.35">
      <c r="A144" s="470"/>
      <c r="B144" s="56"/>
      <c r="C144" s="8"/>
      <c r="D144" s="8"/>
      <c r="E144" s="8"/>
      <c r="F144" s="8"/>
      <c r="G144" s="8"/>
      <c r="H144" s="141"/>
      <c r="I144" s="141"/>
      <c r="J144" s="162"/>
      <c r="K144" s="141"/>
      <c r="L144" s="141"/>
      <c r="M144" s="141"/>
      <c r="N144" s="148"/>
    </row>
    <row r="145" spans="1:14" ht="18.5" x14ac:dyDescent="0.35">
      <c r="A145" s="470"/>
      <c r="B145" s="57">
        <v>189</v>
      </c>
      <c r="C145" s="35" t="s">
        <v>47</v>
      </c>
      <c r="D145" s="35" t="s">
        <v>343</v>
      </c>
      <c r="E145" s="40"/>
      <c r="F145" s="160" t="s">
        <v>313</v>
      </c>
      <c r="G145" s="161" t="s">
        <v>221</v>
      </c>
      <c r="H145" s="103" t="s">
        <v>307</v>
      </c>
      <c r="I145" s="68" t="s">
        <v>5</v>
      </c>
      <c r="J145" s="95">
        <v>3</v>
      </c>
      <c r="K145" s="312">
        <v>0</v>
      </c>
      <c r="L145" s="69">
        <f>K145*J145</f>
        <v>0</v>
      </c>
      <c r="M145" s="312">
        <v>0</v>
      </c>
      <c r="N145" s="148"/>
    </row>
    <row r="146" spans="1:14" x14ac:dyDescent="0.35">
      <c r="A146" s="470"/>
      <c r="B146" s="56"/>
      <c r="C146" s="8"/>
      <c r="D146" s="8"/>
      <c r="E146" s="8"/>
      <c r="F146" s="13"/>
      <c r="G146" s="13"/>
      <c r="H146" s="103"/>
      <c r="I146" s="68"/>
      <c r="J146" s="95"/>
      <c r="K146" s="69"/>
      <c r="L146" s="69"/>
      <c r="M146" s="69"/>
      <c r="N146" s="148"/>
    </row>
    <row r="147" spans="1:14" ht="15.5" x14ac:dyDescent="0.35">
      <c r="A147" s="470"/>
      <c r="B147" s="76"/>
      <c r="C147" s="77"/>
      <c r="D147" s="77"/>
      <c r="E147" s="77"/>
      <c r="F147" s="30"/>
      <c r="G147" s="31"/>
      <c r="H147" s="32" t="s">
        <v>459</v>
      </c>
      <c r="I147" s="33"/>
      <c r="J147" s="98"/>
      <c r="K147" s="34"/>
      <c r="L147" s="137">
        <f>SUM(L145:L145)</f>
        <v>0</v>
      </c>
      <c r="M147" s="137">
        <f>SUM(M145:M145)</f>
        <v>0</v>
      </c>
      <c r="N147" s="148"/>
    </row>
    <row r="148" spans="1:14" s="74" customFormat="1" x14ac:dyDescent="0.35">
      <c r="A148" s="470"/>
      <c r="B148" s="56"/>
      <c r="C148" s="8"/>
      <c r="D148" s="8"/>
      <c r="E148" s="8"/>
      <c r="F148" s="8"/>
      <c r="G148" s="8"/>
      <c r="H148" s="141"/>
      <c r="I148" s="141"/>
      <c r="J148" s="162"/>
      <c r="K148" s="141"/>
      <c r="L148" s="141"/>
      <c r="M148" s="141"/>
      <c r="N148" s="148"/>
    </row>
    <row r="149" spans="1:14" s="74" customFormat="1" ht="18.5" x14ac:dyDescent="0.35">
      <c r="A149" s="470"/>
      <c r="B149" s="57">
        <v>190</v>
      </c>
      <c r="C149" s="35" t="s">
        <v>47</v>
      </c>
      <c r="D149" s="35" t="s">
        <v>344</v>
      </c>
      <c r="E149" s="40"/>
      <c r="F149" s="160" t="s">
        <v>313</v>
      </c>
      <c r="G149" s="161" t="s">
        <v>51</v>
      </c>
      <c r="H149" s="103" t="s">
        <v>563</v>
      </c>
      <c r="I149" s="68" t="s">
        <v>5</v>
      </c>
      <c r="J149" s="95">
        <v>16</v>
      </c>
      <c r="K149" s="312">
        <v>0</v>
      </c>
      <c r="L149" s="69">
        <f>K149*J149</f>
        <v>0</v>
      </c>
      <c r="M149" s="312">
        <v>0</v>
      </c>
      <c r="N149" s="148"/>
    </row>
    <row r="150" spans="1:14" s="74" customFormat="1" x14ac:dyDescent="0.35">
      <c r="A150" s="470"/>
      <c r="B150" s="56"/>
      <c r="C150" s="8"/>
      <c r="D150" s="8"/>
      <c r="E150" s="8"/>
      <c r="F150" s="13"/>
      <c r="G150" s="13"/>
      <c r="H150" s="103"/>
      <c r="I150" s="68"/>
      <c r="J150" s="95"/>
      <c r="K150" s="69"/>
      <c r="L150" s="69"/>
      <c r="M150" s="69"/>
      <c r="N150" s="148"/>
    </row>
    <row r="151" spans="1:14" s="74" customFormat="1" ht="15.5" x14ac:dyDescent="0.35">
      <c r="A151" s="470"/>
      <c r="B151" s="76"/>
      <c r="C151" s="77"/>
      <c r="D151" s="77"/>
      <c r="E151" s="77"/>
      <c r="F151" s="30"/>
      <c r="G151" s="31"/>
      <c r="H151" s="32" t="s">
        <v>459</v>
      </c>
      <c r="I151" s="33"/>
      <c r="J151" s="98"/>
      <c r="K151" s="34"/>
      <c r="L151" s="137">
        <f>SUM(L149:L149)</f>
        <v>0</v>
      </c>
      <c r="M151" s="137">
        <f>SUM(M149:M149)</f>
        <v>0</v>
      </c>
      <c r="N151" s="148"/>
    </row>
    <row r="152" spans="1:14" ht="15" thickBot="1" x14ac:dyDescent="0.4">
      <c r="A152" s="470"/>
      <c r="B152" s="56"/>
      <c r="C152" s="8"/>
      <c r="D152" s="8"/>
      <c r="E152" s="8"/>
      <c r="F152" s="8"/>
      <c r="G152" s="8"/>
      <c r="H152" s="141"/>
      <c r="I152" s="141"/>
      <c r="J152" s="162"/>
      <c r="K152" s="141"/>
      <c r="L152" s="141"/>
      <c r="M152" s="141"/>
      <c r="N152" s="148"/>
    </row>
    <row r="153" spans="1:14" ht="19" thickBot="1" x14ac:dyDescent="0.4">
      <c r="A153" s="470"/>
      <c r="B153" s="453" t="s">
        <v>45</v>
      </c>
      <c r="C153" s="454"/>
      <c r="D153" s="454"/>
      <c r="E153" s="454"/>
      <c r="F153" s="454"/>
      <c r="G153" s="140"/>
      <c r="H153" s="140" t="s">
        <v>459</v>
      </c>
      <c r="I153" s="50"/>
      <c r="J153" s="94"/>
      <c r="K153" s="51"/>
      <c r="L153" s="52">
        <f>L151+L147+L143+L139+L135+L131+L127+L123+L119</f>
        <v>0</v>
      </c>
      <c r="M153" s="53">
        <f>M151+M147+M143+M139+M135+M131+M127+M123+M119</f>
        <v>0</v>
      </c>
      <c r="N153" s="148"/>
    </row>
    <row r="154" spans="1:14" ht="19" thickBot="1" x14ac:dyDescent="0.4">
      <c r="A154" s="471"/>
      <c r="B154" s="58"/>
      <c r="C154" s="21"/>
      <c r="D154" s="21"/>
      <c r="E154" s="14"/>
      <c r="F154" s="15"/>
      <c r="G154" s="15"/>
      <c r="H154" s="16"/>
      <c r="I154" s="17"/>
      <c r="J154" s="96"/>
      <c r="K154" s="277"/>
      <c r="L154" s="278"/>
      <c r="M154" s="276"/>
      <c r="N154" s="149"/>
    </row>
    <row r="155" spans="1:14" ht="18.5" x14ac:dyDescent="0.35">
      <c r="A155" s="472" t="s">
        <v>59</v>
      </c>
      <c r="B155" s="56"/>
      <c r="C155" s="20"/>
      <c r="D155" s="20"/>
      <c r="E155" s="8"/>
      <c r="F155" s="13"/>
      <c r="G155" s="13"/>
      <c r="H155" s="141"/>
      <c r="I155" s="68"/>
      <c r="J155" s="95"/>
      <c r="K155" s="69"/>
      <c r="L155" s="69"/>
      <c r="M155" s="69"/>
      <c r="N155" s="146"/>
    </row>
    <row r="156" spans="1:14" ht="18.75" customHeight="1" x14ac:dyDescent="0.35">
      <c r="A156" s="473"/>
      <c r="B156" s="57">
        <v>191</v>
      </c>
      <c r="C156" s="35" t="s">
        <v>60</v>
      </c>
      <c r="D156" s="35" t="s">
        <v>10</v>
      </c>
      <c r="E156" s="40"/>
      <c r="F156" s="160" t="s">
        <v>61</v>
      </c>
      <c r="G156" s="161" t="s">
        <v>73</v>
      </c>
      <c r="H156" s="103" t="s">
        <v>564</v>
      </c>
      <c r="I156" s="68" t="s">
        <v>6</v>
      </c>
      <c r="J156" s="95">
        <v>1</v>
      </c>
      <c r="K156" s="312">
        <v>0</v>
      </c>
      <c r="L156" s="69">
        <f>K156*J156</f>
        <v>0</v>
      </c>
      <c r="M156" s="312">
        <v>0</v>
      </c>
      <c r="N156" s="148" t="s">
        <v>570</v>
      </c>
    </row>
    <row r="157" spans="1:14" ht="18.5" x14ac:dyDescent="0.35">
      <c r="A157" s="473"/>
      <c r="B157" s="56"/>
      <c r="C157" s="20"/>
      <c r="D157" s="20"/>
      <c r="E157" s="8"/>
      <c r="F157" s="13"/>
      <c r="G157" s="161"/>
      <c r="H157" s="103" t="s">
        <v>62</v>
      </c>
      <c r="I157" s="68" t="s">
        <v>6</v>
      </c>
      <c r="J157" s="95">
        <v>1</v>
      </c>
      <c r="K157" s="312">
        <v>0</v>
      </c>
      <c r="L157" s="69">
        <f>K157*J157</f>
        <v>0</v>
      </c>
      <c r="M157" s="312">
        <v>0</v>
      </c>
      <c r="N157" s="148" t="s">
        <v>550</v>
      </c>
    </row>
    <row r="158" spans="1:14" ht="72.5" x14ac:dyDescent="0.35">
      <c r="A158" s="473"/>
      <c r="B158" s="56"/>
      <c r="C158" s="20"/>
      <c r="D158" s="20"/>
      <c r="E158" s="8"/>
      <c r="F158" s="13"/>
      <c r="G158" s="161"/>
      <c r="H158" s="103" t="s">
        <v>63</v>
      </c>
      <c r="I158" s="68" t="s">
        <v>6</v>
      </c>
      <c r="J158" s="95">
        <v>1</v>
      </c>
      <c r="K158" s="312">
        <v>0</v>
      </c>
      <c r="L158" s="69">
        <f>K158*J158</f>
        <v>0</v>
      </c>
      <c r="M158" s="312">
        <v>0</v>
      </c>
      <c r="N158" s="219" t="s">
        <v>573</v>
      </c>
    </row>
    <row r="159" spans="1:14" ht="18.5" x14ac:dyDescent="0.35">
      <c r="A159" s="473"/>
      <c r="B159" s="56"/>
      <c r="C159" s="20"/>
      <c r="D159" s="20"/>
      <c r="E159" s="8"/>
      <c r="F159" s="13"/>
      <c r="G159" s="161"/>
      <c r="H159" s="103" t="s">
        <v>64</v>
      </c>
      <c r="I159" s="68" t="s">
        <v>6</v>
      </c>
      <c r="J159" s="95">
        <v>1</v>
      </c>
      <c r="K159" s="312">
        <v>0</v>
      </c>
      <c r="L159" s="69">
        <f>K159*J159</f>
        <v>0</v>
      </c>
      <c r="M159" s="312">
        <v>0</v>
      </c>
      <c r="N159" s="148" t="s">
        <v>571</v>
      </c>
    </row>
    <row r="160" spans="1:14" s="74" customFormat="1" x14ac:dyDescent="0.35">
      <c r="A160" s="473"/>
      <c r="B160" s="56"/>
      <c r="C160" s="8"/>
      <c r="D160" s="8"/>
      <c r="E160" s="8"/>
      <c r="F160" s="13"/>
      <c r="G160" s="13"/>
      <c r="H160" s="103"/>
      <c r="I160" s="68"/>
      <c r="J160" s="95"/>
      <c r="K160" s="69"/>
      <c r="L160" s="69"/>
      <c r="M160" s="69"/>
      <c r="N160" s="148"/>
    </row>
    <row r="161" spans="1:14" x14ac:dyDescent="0.35">
      <c r="A161" s="473"/>
      <c r="B161" s="56"/>
      <c r="C161" s="8"/>
      <c r="D161" s="8"/>
      <c r="E161" s="8"/>
      <c r="F161" s="13"/>
      <c r="G161" s="13" t="s">
        <v>74</v>
      </c>
      <c r="H161" s="103" t="s">
        <v>77</v>
      </c>
      <c r="I161" s="68" t="s">
        <v>279</v>
      </c>
      <c r="J161" s="95">
        <v>2</v>
      </c>
      <c r="K161" s="312">
        <v>0</v>
      </c>
      <c r="L161" s="141"/>
      <c r="M161" s="69">
        <f>K161*J161</f>
        <v>0</v>
      </c>
      <c r="N161" s="148"/>
    </row>
    <row r="162" spans="1:14" x14ac:dyDescent="0.35">
      <c r="A162" s="473"/>
      <c r="B162" s="56"/>
      <c r="C162" s="8"/>
      <c r="D162" s="8"/>
      <c r="E162" s="8"/>
      <c r="F162" s="13"/>
      <c r="G162" s="13"/>
      <c r="H162" s="103" t="s">
        <v>78</v>
      </c>
      <c r="I162" s="68" t="s">
        <v>279</v>
      </c>
      <c r="J162" s="95">
        <v>2</v>
      </c>
      <c r="K162" s="312">
        <v>0</v>
      </c>
      <c r="L162" s="141"/>
      <c r="M162" s="69">
        <f>K162*J162</f>
        <v>0</v>
      </c>
      <c r="N162" s="148"/>
    </row>
    <row r="163" spans="1:14" x14ac:dyDescent="0.35">
      <c r="A163" s="473"/>
      <c r="B163" s="56"/>
      <c r="C163" s="8"/>
      <c r="D163" s="8"/>
      <c r="E163" s="8"/>
      <c r="F163" s="13"/>
      <c r="G163" s="13"/>
      <c r="H163" s="103" t="s">
        <v>79</v>
      </c>
      <c r="I163" s="68" t="s">
        <v>279</v>
      </c>
      <c r="J163" s="95">
        <v>1</v>
      </c>
      <c r="K163" s="312">
        <v>0</v>
      </c>
      <c r="L163" s="141"/>
      <c r="M163" s="69">
        <f>K163*J163</f>
        <v>0</v>
      </c>
      <c r="N163" s="148"/>
    </row>
    <row r="164" spans="1:14" x14ac:dyDescent="0.35">
      <c r="A164" s="473"/>
      <c r="B164" s="56"/>
      <c r="C164" s="8"/>
      <c r="D164" s="8"/>
      <c r="E164" s="8"/>
      <c r="F164" s="13"/>
      <c r="G164" s="13"/>
      <c r="H164" s="103"/>
      <c r="I164" s="68"/>
      <c r="J164" s="95"/>
      <c r="K164" s="69"/>
      <c r="L164" s="69"/>
      <c r="M164" s="69"/>
      <c r="N164" s="148"/>
    </row>
    <row r="165" spans="1:14" ht="15.5" x14ac:dyDescent="0.35">
      <c r="A165" s="473"/>
      <c r="B165" s="76"/>
      <c r="C165" s="77"/>
      <c r="D165" s="77"/>
      <c r="E165" s="77"/>
      <c r="F165" s="25"/>
      <c r="G165" s="64"/>
      <c r="H165" s="65" t="s">
        <v>459</v>
      </c>
      <c r="I165" s="66"/>
      <c r="J165" s="102"/>
      <c r="K165" s="67"/>
      <c r="L165" s="89">
        <f>SUM(L156:L163)</f>
        <v>0</v>
      </c>
      <c r="M165" s="89">
        <f>SUM(M156:M163)</f>
        <v>0</v>
      </c>
      <c r="N165" s="148"/>
    </row>
    <row r="166" spans="1:14" x14ac:dyDescent="0.35">
      <c r="A166" s="473"/>
      <c r="B166" s="56"/>
      <c r="C166" s="8"/>
      <c r="D166" s="8"/>
      <c r="E166" s="8"/>
      <c r="F166" s="28"/>
      <c r="G166" s="28"/>
      <c r="H166" s="29"/>
      <c r="I166" s="29"/>
      <c r="J166" s="97"/>
      <c r="K166" s="29"/>
      <c r="L166" s="29"/>
      <c r="M166" s="29"/>
      <c r="N166" s="148"/>
    </row>
    <row r="167" spans="1:14" ht="43.5" x14ac:dyDescent="0.35">
      <c r="A167" s="473"/>
      <c r="B167" s="57">
        <v>192</v>
      </c>
      <c r="C167" s="35" t="s">
        <v>60</v>
      </c>
      <c r="D167" s="35" t="s">
        <v>12</v>
      </c>
      <c r="E167" s="40"/>
      <c r="F167" s="160" t="s">
        <v>66</v>
      </c>
      <c r="G167" s="161" t="s">
        <v>73</v>
      </c>
      <c r="H167" s="228" t="s">
        <v>701</v>
      </c>
      <c r="I167" s="68" t="s">
        <v>6</v>
      </c>
      <c r="J167" s="95">
        <v>1</v>
      </c>
      <c r="K167" s="312">
        <v>0</v>
      </c>
      <c r="L167" s="69">
        <f>K167*J167</f>
        <v>0</v>
      </c>
      <c r="M167" s="312">
        <v>0</v>
      </c>
      <c r="N167" s="148" t="s">
        <v>609</v>
      </c>
    </row>
    <row r="168" spans="1:14" ht="18.5" x14ac:dyDescent="0.35">
      <c r="A168" s="473"/>
      <c r="B168" s="56"/>
      <c r="C168" s="20"/>
      <c r="D168" s="20"/>
      <c r="E168" s="8"/>
      <c r="F168" s="13"/>
      <c r="G168" s="161"/>
      <c r="H168" s="323" t="s">
        <v>732</v>
      </c>
      <c r="I168" s="68" t="s">
        <v>6</v>
      </c>
      <c r="J168" s="95">
        <v>1</v>
      </c>
      <c r="K168" s="312">
        <v>0</v>
      </c>
      <c r="L168" s="69">
        <f>K168*J168</f>
        <v>0</v>
      </c>
      <c r="M168" s="312">
        <v>0</v>
      </c>
      <c r="N168" s="219" t="s">
        <v>730</v>
      </c>
    </row>
    <row r="169" spans="1:14" x14ac:dyDescent="0.35">
      <c r="A169" s="473"/>
      <c r="B169" s="56"/>
      <c r="C169" s="8"/>
      <c r="D169" s="8"/>
      <c r="E169" s="8"/>
      <c r="F169" s="13"/>
      <c r="G169" s="13"/>
      <c r="H169" s="103" t="s">
        <v>65</v>
      </c>
      <c r="I169" s="68" t="s">
        <v>6</v>
      </c>
      <c r="J169" s="95">
        <v>1</v>
      </c>
      <c r="K169" s="312">
        <v>0</v>
      </c>
      <c r="L169" s="69">
        <f>K169*J169</f>
        <v>0</v>
      </c>
      <c r="M169" s="312">
        <v>0</v>
      </c>
      <c r="N169" s="148" t="s">
        <v>565</v>
      </c>
    </row>
    <row r="170" spans="1:14" s="74" customFormat="1" x14ac:dyDescent="0.35">
      <c r="A170" s="473"/>
      <c r="B170" s="56"/>
      <c r="C170" s="8"/>
      <c r="D170" s="8"/>
      <c r="E170" s="8"/>
      <c r="F170" s="13"/>
      <c r="G170" s="13"/>
      <c r="H170" s="103"/>
      <c r="I170" s="68"/>
      <c r="J170" s="95"/>
      <c r="K170" s="69"/>
      <c r="L170" s="69"/>
      <c r="M170" s="69"/>
      <c r="N170" s="148"/>
    </row>
    <row r="171" spans="1:14" x14ac:dyDescent="0.35">
      <c r="A171" s="473"/>
      <c r="B171" s="56"/>
      <c r="C171" s="8"/>
      <c r="D171" s="8"/>
      <c r="E171" s="8"/>
      <c r="F171" s="13"/>
      <c r="G171" s="13" t="s">
        <v>74</v>
      </c>
      <c r="H171" s="103" t="s">
        <v>80</v>
      </c>
      <c r="I171" s="68" t="s">
        <v>279</v>
      </c>
      <c r="J171" s="95">
        <v>3</v>
      </c>
      <c r="K171" s="312">
        <v>0</v>
      </c>
      <c r="L171" s="141"/>
      <c r="M171" s="69">
        <f>K171*J171</f>
        <v>0</v>
      </c>
      <c r="N171" s="148"/>
    </row>
    <row r="172" spans="1:14" x14ac:dyDescent="0.35">
      <c r="A172" s="473"/>
      <c r="B172" s="56"/>
      <c r="C172" s="8"/>
      <c r="D172" s="8"/>
      <c r="E172" s="8"/>
      <c r="F172" s="13"/>
      <c r="G172" s="13"/>
      <c r="H172" s="103" t="s">
        <v>76</v>
      </c>
      <c r="I172" s="68" t="s">
        <v>279</v>
      </c>
      <c r="J172" s="95">
        <v>1</v>
      </c>
      <c r="K172" s="312">
        <v>0</v>
      </c>
      <c r="L172" s="141"/>
      <c r="M172" s="69">
        <f>K172*J172</f>
        <v>0</v>
      </c>
      <c r="N172" s="148"/>
    </row>
    <row r="173" spans="1:14" x14ac:dyDescent="0.35">
      <c r="A173" s="473"/>
      <c r="B173" s="56"/>
      <c r="C173" s="8"/>
      <c r="D173" s="8"/>
      <c r="E173" s="8"/>
      <c r="F173" s="13"/>
      <c r="G173" s="13"/>
      <c r="H173" s="103"/>
      <c r="I173" s="68"/>
      <c r="J173" s="95"/>
      <c r="K173" s="69"/>
      <c r="L173" s="69"/>
      <c r="M173" s="69"/>
      <c r="N173" s="148"/>
    </row>
    <row r="174" spans="1:14" ht="15.5" x14ac:dyDescent="0.35">
      <c r="A174" s="473"/>
      <c r="B174" s="76"/>
      <c r="C174" s="77"/>
      <c r="D174" s="77"/>
      <c r="E174" s="77"/>
      <c r="F174" s="30"/>
      <c r="G174" s="31"/>
      <c r="H174" s="32" t="s">
        <v>459</v>
      </c>
      <c r="I174" s="33"/>
      <c r="J174" s="98"/>
      <c r="K174" s="34"/>
      <c r="L174" s="137">
        <f>SUM(L167:L172)</f>
        <v>0</v>
      </c>
      <c r="M174" s="137">
        <f>SUM(M167:M172)</f>
        <v>0</v>
      </c>
      <c r="N174" s="148"/>
    </row>
    <row r="175" spans="1:14" x14ac:dyDescent="0.35">
      <c r="A175" s="473"/>
      <c r="B175" s="56"/>
      <c r="C175" s="8"/>
      <c r="D175" s="8"/>
      <c r="E175" s="8"/>
      <c r="F175" s="28"/>
      <c r="G175" s="28"/>
      <c r="H175" s="29"/>
      <c r="I175" s="29"/>
      <c r="J175" s="97"/>
      <c r="K175" s="29"/>
      <c r="L175" s="29"/>
      <c r="M175" s="29"/>
      <c r="N175" s="148"/>
    </row>
    <row r="176" spans="1:14" ht="58" x14ac:dyDescent="0.35">
      <c r="A176" s="473"/>
      <c r="B176" s="57">
        <v>193</v>
      </c>
      <c r="C176" s="35" t="s">
        <v>60</v>
      </c>
      <c r="D176" s="35" t="s">
        <v>23</v>
      </c>
      <c r="E176" s="40"/>
      <c r="F176" s="160" t="s">
        <v>67</v>
      </c>
      <c r="G176" s="161" t="s">
        <v>73</v>
      </c>
      <c r="H176" s="103" t="s">
        <v>68</v>
      </c>
      <c r="I176" s="68" t="s">
        <v>6</v>
      </c>
      <c r="J176" s="95">
        <v>2</v>
      </c>
      <c r="K176" s="312">
        <v>0</v>
      </c>
      <c r="L176" s="69">
        <f>K176*J176</f>
        <v>0</v>
      </c>
      <c r="M176" s="312">
        <v>0</v>
      </c>
      <c r="N176" s="148" t="s">
        <v>572</v>
      </c>
    </row>
    <row r="177" spans="1:14" ht="18.5" x14ac:dyDescent="0.35">
      <c r="A177" s="473"/>
      <c r="B177" s="249"/>
      <c r="C177" s="259"/>
      <c r="D177" s="259"/>
      <c r="E177" s="251"/>
      <c r="F177" s="241"/>
      <c r="G177" s="216"/>
      <c r="H177" s="103" t="s">
        <v>65</v>
      </c>
      <c r="I177" s="68" t="s">
        <v>6</v>
      </c>
      <c r="J177" s="95">
        <v>1</v>
      </c>
      <c r="K177" s="312">
        <v>0</v>
      </c>
      <c r="L177" s="69">
        <f>K177*J177</f>
        <v>0</v>
      </c>
      <c r="M177" s="312">
        <v>0</v>
      </c>
      <c r="N177" s="148" t="s">
        <v>565</v>
      </c>
    </row>
    <row r="178" spans="1:14" s="74" customFormat="1" ht="18.5" x14ac:dyDescent="0.35">
      <c r="A178" s="473"/>
      <c r="B178" s="249"/>
      <c r="C178" s="259"/>
      <c r="D178" s="259"/>
      <c r="E178" s="251"/>
      <c r="F178" s="241"/>
      <c r="G178" s="216"/>
      <c r="H178" s="103"/>
      <c r="I178" s="68"/>
      <c r="J178" s="95"/>
      <c r="K178" s="69"/>
      <c r="L178" s="69"/>
      <c r="M178" s="69"/>
      <c r="N178" s="148"/>
    </row>
    <row r="179" spans="1:14" x14ac:dyDescent="0.35">
      <c r="A179" s="473"/>
      <c r="B179" s="249"/>
      <c r="C179" s="251"/>
      <c r="D179" s="251"/>
      <c r="E179" s="251"/>
      <c r="F179" s="217"/>
      <c r="G179" s="217" t="s">
        <v>74</v>
      </c>
      <c r="H179" s="103" t="s">
        <v>81</v>
      </c>
      <c r="I179" s="68" t="s">
        <v>279</v>
      </c>
      <c r="J179" s="95">
        <v>1</v>
      </c>
      <c r="K179" s="312">
        <v>0</v>
      </c>
      <c r="L179" s="141"/>
      <c r="M179" s="69">
        <f>K179*J179</f>
        <v>0</v>
      </c>
      <c r="N179" s="148"/>
    </row>
    <row r="180" spans="1:14" x14ac:dyDescent="0.35">
      <c r="A180" s="473"/>
      <c r="B180" s="56"/>
      <c r="C180" s="8"/>
      <c r="D180" s="8"/>
      <c r="E180" s="8"/>
      <c r="F180" s="13"/>
      <c r="G180" s="13"/>
      <c r="H180" s="103" t="s">
        <v>82</v>
      </c>
      <c r="I180" s="68" t="s">
        <v>279</v>
      </c>
      <c r="J180" s="95">
        <v>1</v>
      </c>
      <c r="K180" s="312">
        <v>0</v>
      </c>
      <c r="L180" s="141"/>
      <c r="M180" s="69">
        <f>K180*J180</f>
        <v>0</v>
      </c>
      <c r="N180" s="148"/>
    </row>
    <row r="181" spans="1:14" x14ac:dyDescent="0.35">
      <c r="A181" s="473"/>
      <c r="B181" s="56"/>
      <c r="C181" s="8"/>
      <c r="D181" s="8"/>
      <c r="E181" s="8"/>
      <c r="F181" s="13"/>
      <c r="G181" s="13"/>
      <c r="H181" s="103"/>
      <c r="I181" s="68"/>
      <c r="J181" s="95"/>
      <c r="K181" s="69"/>
      <c r="L181" s="141"/>
      <c r="M181" s="69"/>
      <c r="N181" s="148"/>
    </row>
    <row r="182" spans="1:14" ht="15.5" x14ac:dyDescent="0.35">
      <c r="A182" s="473"/>
      <c r="B182" s="76"/>
      <c r="C182" s="77"/>
      <c r="D182" s="77"/>
      <c r="E182" s="77"/>
      <c r="F182" s="30"/>
      <c r="G182" s="31"/>
      <c r="H182" s="32" t="s">
        <v>459</v>
      </c>
      <c r="I182" s="33"/>
      <c r="J182" s="98"/>
      <c r="K182" s="34"/>
      <c r="L182" s="137">
        <f>SUM(L176:L180)</f>
        <v>0</v>
      </c>
      <c r="M182" s="137">
        <f>SUM(M176:M180)</f>
        <v>0</v>
      </c>
      <c r="N182" s="148"/>
    </row>
    <row r="183" spans="1:14" x14ac:dyDescent="0.35">
      <c r="A183" s="473"/>
      <c r="B183" s="56"/>
      <c r="C183" s="8"/>
      <c r="D183" s="8"/>
      <c r="E183" s="8"/>
      <c r="F183" s="28"/>
      <c r="G183" s="28"/>
      <c r="H183" s="29"/>
      <c r="I183" s="29"/>
      <c r="J183" s="97"/>
      <c r="K183" s="29"/>
      <c r="L183" s="29"/>
      <c r="M183" s="29"/>
      <c r="N183" s="148"/>
    </row>
    <row r="184" spans="1:14" ht="43.5" x14ac:dyDescent="0.35">
      <c r="A184" s="473"/>
      <c r="B184" s="57">
        <v>194</v>
      </c>
      <c r="C184" s="35" t="s">
        <v>60</v>
      </c>
      <c r="D184" s="35" t="s">
        <v>33</v>
      </c>
      <c r="E184" s="40"/>
      <c r="F184" s="160" t="s">
        <v>69</v>
      </c>
      <c r="G184" s="161" t="s">
        <v>73</v>
      </c>
      <c r="H184" s="103" t="s">
        <v>516</v>
      </c>
      <c r="I184" s="68" t="s">
        <v>6</v>
      </c>
      <c r="J184" s="95">
        <v>1</v>
      </c>
      <c r="K184" s="312">
        <v>0</v>
      </c>
      <c r="L184" s="69">
        <f>K184*J184</f>
        <v>0</v>
      </c>
      <c r="M184" s="312">
        <v>0</v>
      </c>
      <c r="N184" s="148" t="s">
        <v>542</v>
      </c>
    </row>
    <row r="185" spans="1:14" ht="18.5" x14ac:dyDescent="0.35">
      <c r="A185" s="473"/>
      <c r="B185" s="249"/>
      <c r="C185" s="259"/>
      <c r="D185" s="259"/>
      <c r="E185" s="251"/>
      <c r="F185" s="241"/>
      <c r="G185" s="216"/>
      <c r="H185" s="228" t="s">
        <v>62</v>
      </c>
      <c r="I185" s="68" t="s">
        <v>6</v>
      </c>
      <c r="J185" s="95">
        <v>1</v>
      </c>
      <c r="K185" s="312">
        <v>0</v>
      </c>
      <c r="L185" s="69">
        <f>K185*J185</f>
        <v>0</v>
      </c>
      <c r="M185" s="312">
        <v>0</v>
      </c>
      <c r="N185" s="148" t="s">
        <v>550</v>
      </c>
    </row>
    <row r="186" spans="1:14" ht="29" x14ac:dyDescent="0.35">
      <c r="A186" s="473"/>
      <c r="B186" s="249"/>
      <c r="C186" s="250"/>
      <c r="D186" s="250"/>
      <c r="E186" s="251"/>
      <c r="F186" s="217"/>
      <c r="G186" s="217"/>
      <c r="H186" s="228" t="s">
        <v>604</v>
      </c>
      <c r="I186" s="68" t="s">
        <v>6</v>
      </c>
      <c r="J186" s="95">
        <v>1</v>
      </c>
      <c r="K186" s="312">
        <v>0</v>
      </c>
      <c r="L186" s="69">
        <f>K186*J186</f>
        <v>0</v>
      </c>
      <c r="M186" s="312">
        <v>0</v>
      </c>
      <c r="N186" s="148" t="s">
        <v>608</v>
      </c>
    </row>
    <row r="187" spans="1:14" s="74" customFormat="1" ht="18.5" x14ac:dyDescent="0.35">
      <c r="A187" s="473"/>
      <c r="B187" s="249"/>
      <c r="C187" s="250"/>
      <c r="D187" s="250"/>
      <c r="E187" s="251"/>
      <c r="F187" s="217"/>
      <c r="G187" s="217"/>
      <c r="H187" s="228"/>
      <c r="I187" s="211"/>
      <c r="J187" s="212"/>
      <c r="K187" s="220"/>
      <c r="L187" s="220"/>
      <c r="M187" s="220"/>
      <c r="N187" s="148"/>
    </row>
    <row r="188" spans="1:14" x14ac:dyDescent="0.35">
      <c r="A188" s="473"/>
      <c r="B188" s="249"/>
      <c r="C188" s="251"/>
      <c r="D188" s="251"/>
      <c r="E188" s="251"/>
      <c r="F188" s="217"/>
      <c r="G188" s="217" t="s">
        <v>74</v>
      </c>
      <c r="H188" s="228" t="s">
        <v>83</v>
      </c>
      <c r="I188" s="211" t="s">
        <v>279</v>
      </c>
      <c r="J188" s="212">
        <v>2</v>
      </c>
      <c r="K188" s="312">
        <v>0</v>
      </c>
      <c r="L188" s="229"/>
      <c r="M188" s="220">
        <f>K188*J188</f>
        <v>0</v>
      </c>
      <c r="N188" s="148"/>
    </row>
    <row r="189" spans="1:14" x14ac:dyDescent="0.35">
      <c r="A189" s="473"/>
      <c r="B189" s="249"/>
      <c r="C189" s="251"/>
      <c r="D189" s="251"/>
      <c r="E189" s="251"/>
      <c r="F189" s="217"/>
      <c r="G189" s="217"/>
      <c r="H189" s="228" t="s">
        <v>84</v>
      </c>
      <c r="I189" s="211" t="s">
        <v>279</v>
      </c>
      <c r="J189" s="212">
        <v>1</v>
      </c>
      <c r="K189" s="312">
        <v>0</v>
      </c>
      <c r="L189" s="229"/>
      <c r="M189" s="220">
        <f>K189*J189</f>
        <v>0</v>
      </c>
      <c r="N189" s="148"/>
    </row>
    <row r="190" spans="1:14" x14ac:dyDescent="0.35">
      <c r="A190" s="480"/>
      <c r="B190" s="249"/>
      <c r="C190" s="251"/>
      <c r="D190" s="251"/>
      <c r="E190" s="251"/>
      <c r="F190" s="217"/>
      <c r="G190" s="217"/>
      <c r="H190" s="228"/>
      <c r="I190" s="211"/>
      <c r="J190" s="212"/>
      <c r="K190" s="220"/>
      <c r="L190" s="220"/>
      <c r="M190" s="220"/>
      <c r="N190" s="148"/>
    </row>
    <row r="191" spans="1:14" ht="15.5" x14ac:dyDescent="0.35">
      <c r="A191" s="480"/>
      <c r="B191" s="260"/>
      <c r="C191" s="261"/>
      <c r="D191" s="261"/>
      <c r="E191" s="261"/>
      <c r="F191" s="262"/>
      <c r="G191" s="255"/>
      <c r="H191" s="234" t="s">
        <v>459</v>
      </c>
      <c r="I191" s="33"/>
      <c r="J191" s="98"/>
      <c r="K191" s="34"/>
      <c r="L191" s="137">
        <f>SUM(L184:L189)</f>
        <v>0</v>
      </c>
      <c r="M191" s="137">
        <f>SUM(M184:M189)</f>
        <v>0</v>
      </c>
      <c r="N191" s="219"/>
    </row>
    <row r="192" spans="1:14" x14ac:dyDescent="0.35">
      <c r="A192" s="480"/>
      <c r="B192" s="56"/>
      <c r="C192" s="8"/>
      <c r="D192" s="8"/>
      <c r="E192" s="8"/>
      <c r="F192" s="28"/>
      <c r="G192" s="263"/>
      <c r="H192" s="240"/>
      <c r="I192" s="240"/>
      <c r="J192" s="267"/>
      <c r="K192" s="240"/>
      <c r="L192" s="240"/>
      <c r="M192" s="240"/>
      <c r="N192" s="219"/>
    </row>
    <row r="193" spans="1:14" ht="18.5" x14ac:dyDescent="0.35">
      <c r="A193" s="480"/>
      <c r="B193" s="57">
        <v>195</v>
      </c>
      <c r="C193" s="35" t="s">
        <v>60</v>
      </c>
      <c r="D193" s="35" t="s">
        <v>44</v>
      </c>
      <c r="E193" s="40"/>
      <c r="F193" s="160" t="s">
        <v>70</v>
      </c>
      <c r="G193" s="216" t="s">
        <v>73</v>
      </c>
      <c r="H193" s="228" t="s">
        <v>605</v>
      </c>
      <c r="I193" s="211" t="s">
        <v>6</v>
      </c>
      <c r="J193" s="212">
        <v>3</v>
      </c>
      <c r="K193" s="312">
        <v>0</v>
      </c>
      <c r="L193" s="220">
        <f>K193*J193</f>
        <v>0</v>
      </c>
      <c r="M193" s="312">
        <v>0</v>
      </c>
      <c r="N193" s="219" t="s">
        <v>607</v>
      </c>
    </row>
    <row r="194" spans="1:14" s="74" customFormat="1" ht="18.5" x14ac:dyDescent="0.35">
      <c r="A194" s="480"/>
      <c r="B194" s="249"/>
      <c r="C194" s="259"/>
      <c r="D194" s="259"/>
      <c r="E194" s="251"/>
      <c r="F194" s="241"/>
      <c r="G194" s="216"/>
      <c r="H194" s="228"/>
      <c r="I194" s="211"/>
      <c r="J194" s="212"/>
      <c r="K194" s="220"/>
      <c r="L194" s="220"/>
      <c r="M194" s="220"/>
      <c r="N194" s="219"/>
    </row>
    <row r="195" spans="1:14" x14ac:dyDescent="0.35">
      <c r="A195" s="480"/>
      <c r="B195" s="249"/>
      <c r="C195" s="251"/>
      <c r="D195" s="251"/>
      <c r="E195" s="251"/>
      <c r="F195" s="217"/>
      <c r="G195" s="217" t="s">
        <v>74</v>
      </c>
      <c r="H195" s="228" t="s">
        <v>386</v>
      </c>
      <c r="I195" s="211" t="s">
        <v>279</v>
      </c>
      <c r="J195" s="212">
        <v>1</v>
      </c>
      <c r="K195" s="312">
        <v>0</v>
      </c>
      <c r="L195" s="229"/>
      <c r="M195" s="220">
        <f>K195*J195</f>
        <v>0</v>
      </c>
      <c r="N195" s="148"/>
    </row>
    <row r="196" spans="1:14" ht="18.5" x14ac:dyDescent="0.35">
      <c r="A196" s="480"/>
      <c r="B196" s="249"/>
      <c r="C196" s="250"/>
      <c r="D196" s="250"/>
      <c r="E196" s="251"/>
      <c r="F196" s="217"/>
      <c r="G196" s="217"/>
      <c r="H196" s="228" t="s">
        <v>84</v>
      </c>
      <c r="I196" s="211" t="s">
        <v>279</v>
      </c>
      <c r="J196" s="212">
        <v>1</v>
      </c>
      <c r="K196" s="312">
        <v>0</v>
      </c>
      <c r="L196" s="229"/>
      <c r="M196" s="220">
        <f>K196*J196</f>
        <v>0</v>
      </c>
      <c r="N196" s="148"/>
    </row>
    <row r="197" spans="1:14" s="74" customFormat="1" ht="18.5" x14ac:dyDescent="0.35">
      <c r="A197" s="480"/>
      <c r="B197" s="249"/>
      <c r="C197" s="250"/>
      <c r="D197" s="250"/>
      <c r="E197" s="251"/>
      <c r="F197" s="217"/>
      <c r="G197" s="217"/>
      <c r="H197" s="228"/>
      <c r="I197" s="211"/>
      <c r="J197" s="212"/>
      <c r="K197" s="220"/>
      <c r="L197" s="220"/>
      <c r="M197" s="220"/>
      <c r="N197" s="148"/>
    </row>
    <row r="198" spans="1:14" ht="15.5" x14ac:dyDescent="0.35">
      <c r="A198" s="480"/>
      <c r="B198" s="76"/>
      <c r="C198" s="77"/>
      <c r="D198" s="77"/>
      <c r="E198" s="77"/>
      <c r="F198" s="30"/>
      <c r="G198" s="31"/>
      <c r="H198" s="32" t="s">
        <v>459</v>
      </c>
      <c r="I198" s="33"/>
      <c r="J198" s="98"/>
      <c r="K198" s="34"/>
      <c r="L198" s="137">
        <f>SUM(L193:L196)</f>
        <v>0</v>
      </c>
      <c r="M198" s="137">
        <f>SUM(M193:M196)</f>
        <v>0</v>
      </c>
      <c r="N198" s="148"/>
    </row>
    <row r="199" spans="1:14" s="135" customFormat="1" x14ac:dyDescent="0.35">
      <c r="A199" s="480"/>
      <c r="B199" s="249"/>
      <c r="C199" s="251"/>
      <c r="D199" s="251"/>
      <c r="E199" s="251"/>
      <c r="F199" s="263"/>
      <c r="G199" s="263"/>
      <c r="H199" s="240"/>
      <c r="I199" s="211"/>
      <c r="J199" s="212"/>
      <c r="K199" s="220"/>
      <c r="L199" s="240"/>
      <c r="M199" s="240"/>
      <c r="N199" s="165"/>
    </row>
    <row r="200" spans="1:14" s="135" customFormat="1" ht="18.5" x14ac:dyDescent="0.35">
      <c r="A200" s="480"/>
      <c r="B200" s="57">
        <v>196</v>
      </c>
      <c r="C200" s="35" t="s">
        <v>60</v>
      </c>
      <c r="D200" s="35" t="s">
        <v>430</v>
      </c>
      <c r="E200" s="40"/>
      <c r="F200" s="160" t="s">
        <v>428</v>
      </c>
      <c r="G200" s="216" t="s">
        <v>73</v>
      </c>
      <c r="H200" s="228" t="s">
        <v>429</v>
      </c>
      <c r="I200" s="211" t="s">
        <v>6</v>
      </c>
      <c r="J200" s="212">
        <v>1</v>
      </c>
      <c r="K200" s="312">
        <v>0</v>
      </c>
      <c r="L200" s="220">
        <f>K200*J200</f>
        <v>0</v>
      </c>
      <c r="M200" s="312">
        <v>0</v>
      </c>
      <c r="N200" s="165"/>
    </row>
    <row r="201" spans="1:14" s="135" customFormat="1" x14ac:dyDescent="0.35">
      <c r="A201" s="480"/>
      <c r="B201" s="249"/>
      <c r="C201" s="251"/>
      <c r="D201" s="251"/>
      <c r="E201" s="251"/>
      <c r="F201" s="217"/>
      <c r="G201" s="217"/>
      <c r="H201" s="228"/>
      <c r="I201" s="211"/>
      <c r="J201" s="212"/>
      <c r="K201" s="220"/>
      <c r="L201" s="220"/>
      <c r="M201" s="220"/>
      <c r="N201" s="148"/>
    </row>
    <row r="202" spans="1:14" s="135" customFormat="1" ht="15.5" x14ac:dyDescent="0.35">
      <c r="A202" s="480"/>
      <c r="B202" s="260"/>
      <c r="C202" s="261"/>
      <c r="D202" s="261"/>
      <c r="E202" s="261"/>
      <c r="F202" s="262"/>
      <c r="G202" s="255"/>
      <c r="H202" s="234" t="s">
        <v>459</v>
      </c>
      <c r="I202" s="256"/>
      <c r="J202" s="257"/>
      <c r="K202" s="258"/>
      <c r="L202" s="137">
        <f>SUM(L200)</f>
        <v>0</v>
      </c>
      <c r="M202" s="137">
        <f>SUM(M200)</f>
        <v>0</v>
      </c>
      <c r="N202" s="148"/>
    </row>
    <row r="203" spans="1:14" ht="15" thickBot="1" x14ac:dyDescent="0.4">
      <c r="A203" s="480"/>
      <c r="B203" s="56"/>
      <c r="C203" s="8"/>
      <c r="D203" s="8"/>
      <c r="E203" s="8"/>
      <c r="F203" s="8"/>
      <c r="G203" s="8"/>
      <c r="H203" s="141"/>
      <c r="I203" s="141"/>
      <c r="J203" s="162"/>
      <c r="K203" s="141"/>
      <c r="L203" s="141"/>
      <c r="M203" s="141"/>
      <c r="N203" s="148"/>
    </row>
    <row r="204" spans="1:14" ht="19" thickBot="1" x14ac:dyDescent="0.4">
      <c r="A204" s="480"/>
      <c r="B204" s="453" t="s">
        <v>56</v>
      </c>
      <c r="C204" s="454"/>
      <c r="D204" s="454"/>
      <c r="E204" s="454"/>
      <c r="F204" s="454"/>
      <c r="G204" s="140"/>
      <c r="H204" s="140" t="s">
        <v>459</v>
      </c>
      <c r="I204" s="50"/>
      <c r="J204" s="94"/>
      <c r="K204" s="51"/>
      <c r="L204" s="52">
        <f>L198+L191+L182+L174+L165+L202</f>
        <v>0</v>
      </c>
      <c r="M204" s="53">
        <f>M198+M191+M182+M174+M165+M202</f>
        <v>0</v>
      </c>
      <c r="N204" s="148"/>
    </row>
    <row r="205" spans="1:14" ht="19" thickBot="1" x14ac:dyDescent="0.4">
      <c r="A205" s="481"/>
      <c r="B205" s="58"/>
      <c r="C205" s="21"/>
      <c r="D205" s="21"/>
      <c r="E205" s="14"/>
      <c r="F205" s="15"/>
      <c r="G205" s="15"/>
      <c r="H205" s="16"/>
      <c r="I205" s="17"/>
      <c r="J205" s="96"/>
      <c r="K205" s="277"/>
      <c r="L205" s="278"/>
      <c r="M205" s="276"/>
      <c r="N205" s="149"/>
    </row>
    <row r="206" spans="1:14" ht="18.5" x14ac:dyDescent="0.35">
      <c r="A206" s="482" t="s">
        <v>71</v>
      </c>
      <c r="B206" s="56"/>
      <c r="C206" s="20"/>
      <c r="D206" s="20"/>
      <c r="E206" s="8"/>
      <c r="F206" s="13"/>
      <c r="G206" s="13"/>
      <c r="H206" s="141"/>
      <c r="I206" s="68"/>
      <c r="J206" s="95"/>
      <c r="K206" s="69"/>
      <c r="L206" s="69"/>
      <c r="M206" s="69"/>
      <c r="N206" s="146"/>
    </row>
    <row r="207" spans="1:14" ht="18.75" customHeight="1" x14ac:dyDescent="0.35">
      <c r="A207" s="462"/>
      <c r="B207" s="57">
        <v>197</v>
      </c>
      <c r="C207" s="35" t="s">
        <v>72</v>
      </c>
      <c r="D207" s="35" t="s">
        <v>10</v>
      </c>
      <c r="E207" s="40"/>
      <c r="F207" s="160" t="s">
        <v>15</v>
      </c>
      <c r="G207" s="161"/>
      <c r="H207" s="103" t="s">
        <v>129</v>
      </c>
      <c r="I207" s="68" t="s">
        <v>6</v>
      </c>
      <c r="J207" s="95">
        <v>4</v>
      </c>
      <c r="K207" s="312">
        <v>0</v>
      </c>
      <c r="L207" s="69">
        <f>K207*J207</f>
        <v>0</v>
      </c>
      <c r="M207" s="69"/>
      <c r="N207" s="219" t="s">
        <v>130</v>
      </c>
    </row>
    <row r="208" spans="1:14" ht="18.5" x14ac:dyDescent="0.35">
      <c r="A208" s="462"/>
      <c r="B208" s="56"/>
      <c r="C208" s="20"/>
      <c r="D208" s="20"/>
      <c r="E208" s="8"/>
      <c r="F208" s="13"/>
      <c r="G208" s="161"/>
      <c r="H208" s="103" t="s">
        <v>131</v>
      </c>
      <c r="I208" s="68" t="s">
        <v>6</v>
      </c>
      <c r="J208" s="95">
        <v>1</v>
      </c>
      <c r="K208" s="312">
        <v>0</v>
      </c>
      <c r="L208" s="69">
        <f>K208*J208</f>
        <v>0</v>
      </c>
      <c r="M208" s="69"/>
      <c r="N208" s="219" t="s">
        <v>130</v>
      </c>
    </row>
    <row r="209" spans="1:14" x14ac:dyDescent="0.35">
      <c r="A209" s="462"/>
      <c r="B209" s="56"/>
      <c r="C209" s="8"/>
      <c r="D209" s="8"/>
      <c r="E209" s="8"/>
      <c r="F209" s="13"/>
      <c r="G209" s="13"/>
      <c r="H209" s="103"/>
      <c r="I209" s="68"/>
      <c r="J209" s="95"/>
      <c r="K209" s="69"/>
      <c r="L209" s="69"/>
      <c r="M209" s="69"/>
      <c r="N209" s="148"/>
    </row>
    <row r="210" spans="1:14" ht="15.5" x14ac:dyDescent="0.35">
      <c r="A210" s="462"/>
      <c r="B210" s="76"/>
      <c r="C210" s="77"/>
      <c r="D210" s="77"/>
      <c r="E210" s="77"/>
      <c r="F210" s="25"/>
      <c r="G210" s="64"/>
      <c r="H210" s="65" t="s">
        <v>459</v>
      </c>
      <c r="I210" s="66"/>
      <c r="J210" s="102"/>
      <c r="K210" s="67"/>
      <c r="L210" s="89">
        <f>SUM(L207:L208)</f>
        <v>0</v>
      </c>
      <c r="M210" s="89">
        <f>SUM(M207:M208)</f>
        <v>0</v>
      </c>
      <c r="N210" s="148"/>
    </row>
    <row r="211" spans="1:14" x14ac:dyDescent="0.35">
      <c r="A211" s="462"/>
      <c r="B211" s="56"/>
      <c r="C211" s="8"/>
      <c r="D211" s="8"/>
      <c r="E211" s="8"/>
      <c r="F211" s="28"/>
      <c r="G211" s="28"/>
      <c r="H211" s="29"/>
      <c r="I211" s="29"/>
      <c r="J211" s="97"/>
      <c r="K211" s="29"/>
      <c r="L211" s="29"/>
      <c r="M211" s="29"/>
      <c r="N211" s="148"/>
    </row>
    <row r="212" spans="1:14" ht="18.5" x14ac:dyDescent="0.35">
      <c r="A212" s="462"/>
      <c r="B212" s="57">
        <v>198</v>
      </c>
      <c r="C212" s="35" t="s">
        <v>72</v>
      </c>
      <c r="D212" s="35" t="s">
        <v>12</v>
      </c>
      <c r="E212" s="40"/>
      <c r="F212" s="160" t="s">
        <v>86</v>
      </c>
      <c r="G212" s="161"/>
      <c r="H212" s="218" t="s">
        <v>636</v>
      </c>
      <c r="I212" s="68" t="s">
        <v>6</v>
      </c>
      <c r="J212" s="95">
        <v>1</v>
      </c>
      <c r="K212" s="312">
        <v>0</v>
      </c>
      <c r="L212" s="69">
        <f>K212*J212</f>
        <v>0</v>
      </c>
      <c r="M212" s="69"/>
      <c r="N212" s="219" t="s">
        <v>130</v>
      </c>
    </row>
    <row r="213" spans="1:14" x14ac:dyDescent="0.35">
      <c r="A213" s="462"/>
      <c r="B213" s="56"/>
      <c r="C213" s="8"/>
      <c r="D213" s="8"/>
      <c r="E213" s="8"/>
      <c r="F213" s="13"/>
      <c r="G213" s="13"/>
      <c r="H213" s="103"/>
      <c r="I213" s="68"/>
      <c r="J213" s="95"/>
      <c r="K213" s="69"/>
      <c r="L213" s="69"/>
      <c r="M213" s="69"/>
      <c r="N213" s="148"/>
    </row>
    <row r="214" spans="1:14" ht="15.5" x14ac:dyDescent="0.35">
      <c r="A214" s="462"/>
      <c r="B214" s="76"/>
      <c r="C214" s="77"/>
      <c r="D214" s="77"/>
      <c r="E214" s="77"/>
      <c r="F214" s="30"/>
      <c r="G214" s="31"/>
      <c r="H214" s="32" t="s">
        <v>459</v>
      </c>
      <c r="I214" s="33"/>
      <c r="J214" s="98"/>
      <c r="K214" s="34"/>
      <c r="L214" s="137">
        <f>SUM(L212:L212)</f>
        <v>0</v>
      </c>
      <c r="M214" s="137">
        <f>SUM(M212:M212)</f>
        <v>0</v>
      </c>
      <c r="N214" s="148"/>
    </row>
    <row r="215" spans="1:14" ht="15" thickBot="1" x14ac:dyDescent="0.4">
      <c r="A215" s="462"/>
      <c r="B215" s="56"/>
      <c r="C215" s="8"/>
      <c r="D215" s="8"/>
      <c r="E215" s="8"/>
      <c r="F215" s="8"/>
      <c r="G215" s="8"/>
      <c r="H215" s="141"/>
      <c r="I215" s="141"/>
      <c r="J215" s="162"/>
      <c r="K215" s="141"/>
      <c r="L215" s="141"/>
      <c r="M215" s="141"/>
      <c r="N215" s="148"/>
    </row>
    <row r="216" spans="1:14" ht="19" thickBot="1" x14ac:dyDescent="0.4">
      <c r="A216" s="462"/>
      <c r="B216" s="453" t="s">
        <v>57</v>
      </c>
      <c r="C216" s="454"/>
      <c r="D216" s="454"/>
      <c r="E216" s="454"/>
      <c r="F216" s="454"/>
      <c r="G216" s="140"/>
      <c r="H216" s="140" t="s">
        <v>459</v>
      </c>
      <c r="I216" s="50"/>
      <c r="J216" s="94"/>
      <c r="K216" s="51"/>
      <c r="L216" s="52">
        <f>SUM(+L214+L210)</f>
        <v>0</v>
      </c>
      <c r="M216" s="53">
        <f>M214+M210</f>
        <v>0</v>
      </c>
      <c r="N216" s="171"/>
    </row>
    <row r="217" spans="1:14" ht="19" thickBot="1" x14ac:dyDescent="0.4">
      <c r="A217" s="463"/>
      <c r="B217" s="58"/>
      <c r="C217" s="21"/>
      <c r="D217" s="21"/>
      <c r="E217" s="14"/>
      <c r="F217" s="15"/>
      <c r="G217" s="15"/>
      <c r="H217" s="16"/>
      <c r="I217" s="17"/>
      <c r="J217" s="96"/>
      <c r="K217" s="277"/>
      <c r="L217" s="278"/>
      <c r="M217" s="276"/>
      <c r="N217" s="149"/>
    </row>
    <row r="218" spans="1:14" x14ac:dyDescent="0.35">
      <c r="J218" s="99"/>
    </row>
    <row r="219" spans="1:14" x14ac:dyDescent="0.35">
      <c r="J219" s="99"/>
    </row>
    <row r="220" spans="1:14" x14ac:dyDescent="0.35">
      <c r="J220" s="99"/>
    </row>
    <row r="221" spans="1:14" x14ac:dyDescent="0.35">
      <c r="J221" s="99"/>
    </row>
    <row r="222" spans="1:14" x14ac:dyDescent="0.35">
      <c r="J222" s="99"/>
    </row>
    <row r="223" spans="1:14" x14ac:dyDescent="0.35">
      <c r="J223" s="99"/>
    </row>
    <row r="224" spans="1:14" x14ac:dyDescent="0.35">
      <c r="J224" s="99"/>
    </row>
    <row r="225" spans="10:10" x14ac:dyDescent="0.35">
      <c r="J225" s="99"/>
    </row>
    <row r="226" spans="10:10" x14ac:dyDescent="0.35">
      <c r="J226" s="99"/>
    </row>
    <row r="227" spans="10:10" x14ac:dyDescent="0.35">
      <c r="J227" s="99"/>
    </row>
    <row r="228" spans="10:10" x14ac:dyDescent="0.35">
      <c r="J228" s="99"/>
    </row>
    <row r="229" spans="10:10" x14ac:dyDescent="0.35">
      <c r="J229" s="99"/>
    </row>
    <row r="230" spans="10:10" x14ac:dyDescent="0.35">
      <c r="J230" s="99"/>
    </row>
    <row r="231" spans="10:10" x14ac:dyDescent="0.35">
      <c r="J231" s="99"/>
    </row>
    <row r="232" spans="10:10" x14ac:dyDescent="0.35">
      <c r="J232" s="99"/>
    </row>
    <row r="233" spans="10:10" x14ac:dyDescent="0.35">
      <c r="J233" s="99"/>
    </row>
    <row r="234" spans="10:10" x14ac:dyDescent="0.35">
      <c r="J234" s="99"/>
    </row>
    <row r="235" spans="10:10" x14ac:dyDescent="0.35">
      <c r="J235" s="99"/>
    </row>
    <row r="236" spans="10:10" x14ac:dyDescent="0.35">
      <c r="J236" s="99"/>
    </row>
    <row r="237" spans="10:10" x14ac:dyDescent="0.35">
      <c r="J237" s="99"/>
    </row>
    <row r="238" spans="10:10" x14ac:dyDescent="0.35">
      <c r="J238" s="99"/>
    </row>
    <row r="239" spans="10:10" x14ac:dyDescent="0.35">
      <c r="J239" s="99"/>
    </row>
    <row r="240" spans="10:10" x14ac:dyDescent="0.35">
      <c r="J240" s="99"/>
    </row>
    <row r="241" spans="10:10" x14ac:dyDescent="0.35">
      <c r="J241" s="99"/>
    </row>
    <row r="242" spans="10:10" x14ac:dyDescent="0.35">
      <c r="J242" s="99"/>
    </row>
    <row r="243" spans="10:10" x14ac:dyDescent="0.35">
      <c r="J243" s="99"/>
    </row>
    <row r="244" spans="10:10" x14ac:dyDescent="0.35">
      <c r="J244" s="99"/>
    </row>
    <row r="245" spans="10:10" x14ac:dyDescent="0.35">
      <c r="J245" s="99"/>
    </row>
    <row r="246" spans="10:10" x14ac:dyDescent="0.35">
      <c r="J246" s="99"/>
    </row>
    <row r="247" spans="10:10" x14ac:dyDescent="0.35">
      <c r="J247" s="99"/>
    </row>
    <row r="248" spans="10:10" x14ac:dyDescent="0.35">
      <c r="J248" s="99"/>
    </row>
    <row r="249" spans="10:10" x14ac:dyDescent="0.35">
      <c r="J249" s="99"/>
    </row>
    <row r="250" spans="10:10" x14ac:dyDescent="0.35">
      <c r="J250" s="99"/>
    </row>
    <row r="251" spans="10:10" x14ac:dyDescent="0.35">
      <c r="J251" s="99"/>
    </row>
    <row r="252" spans="10:10" x14ac:dyDescent="0.35">
      <c r="J252" s="99"/>
    </row>
    <row r="253" spans="10:10" x14ac:dyDescent="0.35">
      <c r="J253" s="99"/>
    </row>
    <row r="254" spans="10:10" x14ac:dyDescent="0.35">
      <c r="J254" s="99"/>
    </row>
    <row r="255" spans="10:10" x14ac:dyDescent="0.35">
      <c r="J255" s="99"/>
    </row>
    <row r="256" spans="10:10" x14ac:dyDescent="0.35">
      <c r="J256" s="99"/>
    </row>
    <row r="257" spans="10:10" x14ac:dyDescent="0.35">
      <c r="J257" s="99"/>
    </row>
    <row r="258" spans="10:10" x14ac:dyDescent="0.35">
      <c r="J258" s="99"/>
    </row>
    <row r="259" spans="10:10" x14ac:dyDescent="0.35">
      <c r="J259" s="99"/>
    </row>
    <row r="260" spans="10:10" x14ac:dyDescent="0.35">
      <c r="J260" s="99"/>
    </row>
    <row r="261" spans="10:10" x14ac:dyDescent="0.35">
      <c r="J261" s="99"/>
    </row>
    <row r="262" spans="10:10" x14ac:dyDescent="0.35">
      <c r="J262" s="99"/>
    </row>
    <row r="263" spans="10:10" x14ac:dyDescent="0.35">
      <c r="J263" s="99"/>
    </row>
    <row r="264" spans="10:10" x14ac:dyDescent="0.35">
      <c r="J264" s="99"/>
    </row>
    <row r="265" spans="10:10" x14ac:dyDescent="0.35">
      <c r="J265" s="99"/>
    </row>
    <row r="266" spans="10:10" x14ac:dyDescent="0.35">
      <c r="J266" s="99"/>
    </row>
    <row r="267" spans="10:10" x14ac:dyDescent="0.35">
      <c r="J267" s="99"/>
    </row>
    <row r="268" spans="10:10" x14ac:dyDescent="0.35">
      <c r="J268" s="99"/>
    </row>
    <row r="269" spans="10:10" x14ac:dyDescent="0.35">
      <c r="J269" s="99"/>
    </row>
    <row r="270" spans="10:10" x14ac:dyDescent="0.35">
      <c r="J270" s="99"/>
    </row>
    <row r="271" spans="10:10" x14ac:dyDescent="0.35">
      <c r="J271" s="99"/>
    </row>
    <row r="272" spans="10:10" x14ac:dyDescent="0.35">
      <c r="J272" s="99"/>
    </row>
    <row r="273" spans="10:10" x14ac:dyDescent="0.35">
      <c r="J273" s="99"/>
    </row>
    <row r="274" spans="10:10" x14ac:dyDescent="0.35">
      <c r="J274" s="99"/>
    </row>
    <row r="275" spans="10:10" x14ac:dyDescent="0.35">
      <c r="J275" s="99"/>
    </row>
    <row r="276" spans="10:10" x14ac:dyDescent="0.35">
      <c r="J276" s="99"/>
    </row>
    <row r="277" spans="10:10" x14ac:dyDescent="0.35">
      <c r="J277" s="99"/>
    </row>
    <row r="278" spans="10:10" x14ac:dyDescent="0.35">
      <c r="J278" s="99"/>
    </row>
    <row r="279" spans="10:10" x14ac:dyDescent="0.35">
      <c r="J279" s="99"/>
    </row>
    <row r="280" spans="10:10" x14ac:dyDescent="0.35">
      <c r="J280" s="99"/>
    </row>
    <row r="281" spans="10:10" x14ac:dyDescent="0.35">
      <c r="J281" s="99"/>
    </row>
    <row r="282" spans="10:10" x14ac:dyDescent="0.35">
      <c r="J282" s="99"/>
    </row>
    <row r="283" spans="10:10" x14ac:dyDescent="0.35">
      <c r="J283" s="99"/>
    </row>
    <row r="284" spans="10:10" x14ac:dyDescent="0.35">
      <c r="J284" s="99"/>
    </row>
    <row r="285" spans="10:10" x14ac:dyDescent="0.35">
      <c r="J285" s="99"/>
    </row>
    <row r="286" spans="10:10" x14ac:dyDescent="0.35">
      <c r="J286" s="99"/>
    </row>
    <row r="287" spans="10:10" x14ac:dyDescent="0.35">
      <c r="J287" s="99"/>
    </row>
    <row r="288" spans="10:10" x14ac:dyDescent="0.35">
      <c r="J288" s="99"/>
    </row>
    <row r="289" spans="10:10" x14ac:dyDescent="0.35">
      <c r="J289" s="99"/>
    </row>
    <row r="290" spans="10:10" x14ac:dyDescent="0.35">
      <c r="J290" s="99"/>
    </row>
    <row r="291" spans="10:10" x14ac:dyDescent="0.35">
      <c r="J291" s="99"/>
    </row>
    <row r="292" spans="10:10" x14ac:dyDescent="0.35">
      <c r="J292" s="99"/>
    </row>
    <row r="293" spans="10:10" x14ac:dyDescent="0.35">
      <c r="J293" s="99"/>
    </row>
  </sheetData>
  <sheetProtection sheet="1" objects="1" scenarios="1"/>
  <mergeCells count="22">
    <mergeCell ref="A155:A205"/>
    <mergeCell ref="B204:F204"/>
    <mergeCell ref="A206:A217"/>
    <mergeCell ref="B216:F216"/>
    <mergeCell ref="A93:A115"/>
    <mergeCell ref="B114:F114"/>
    <mergeCell ref="A116:A154"/>
    <mergeCell ref="B153:F153"/>
    <mergeCell ref="A10:G10"/>
    <mergeCell ref="B91:F91"/>
    <mergeCell ref="A2:N2"/>
    <mergeCell ref="A29:A92"/>
    <mergeCell ref="F14:G14"/>
    <mergeCell ref="B27:F27"/>
    <mergeCell ref="A5:G5"/>
    <mergeCell ref="A6:G6"/>
    <mergeCell ref="A7:G7"/>
    <mergeCell ref="A8:G8"/>
    <mergeCell ref="A9:G9"/>
    <mergeCell ref="A16:A28"/>
    <mergeCell ref="C14:D14"/>
    <mergeCell ref="A11:K11"/>
  </mergeCells>
  <pageMargins left="0.23622047244094491" right="0.23622047244094491" top="0.11" bottom="0.23622047244094491" header="0.11" footer="0.11811023622047245"/>
  <pageSetup paperSize="9" scale="43" firstPageNumber="26" fitToHeight="0" orientation="landscape" useFirstPageNumber="1" horizontalDpi="1200" verticalDpi="1200" r:id="rId1"/>
  <headerFooter>
    <oddFooter>&amp;C&amp;P/43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N290"/>
  <sheetViews>
    <sheetView view="pageLayout" topLeftCell="A117" zoomScale="40" zoomScaleNormal="70" zoomScalePageLayoutView="40" workbookViewId="0">
      <selection activeCell="N142" sqref="N142"/>
    </sheetView>
  </sheetViews>
  <sheetFormatPr defaultColWidth="9.1796875" defaultRowHeight="14.5" x14ac:dyDescent="0.35"/>
  <cols>
    <col min="1" max="1" width="5" style="2" customWidth="1"/>
    <col min="2" max="2" width="5.7265625" style="54" customWidth="1"/>
    <col min="3" max="3" width="5.81640625" style="6" customWidth="1"/>
    <col min="4" max="4" width="7" style="6" customWidth="1"/>
    <col min="5" max="5" width="3.7265625" style="6" customWidth="1"/>
    <col min="6" max="6" width="50.7265625" style="6" customWidth="1"/>
    <col min="7" max="7" width="20.26953125" style="6" customWidth="1"/>
    <col min="8" max="8" width="55.7265625" style="2" customWidth="1"/>
    <col min="9" max="11" width="13.7265625" style="2" customWidth="1"/>
    <col min="12" max="13" width="25.7265625" style="2" customWidth="1"/>
    <col min="14" max="14" width="85.7265625" style="2" customWidth="1"/>
    <col min="15" max="15" width="13.7265625" style="2" customWidth="1"/>
    <col min="16" max="16384" width="9.1796875" style="2"/>
  </cols>
  <sheetData>
    <row r="2" spans="1:14" s="151" customFormat="1" ht="35.15" customHeight="1" x14ac:dyDescent="0.35">
      <c r="A2" s="467" t="s">
        <v>754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</row>
    <row r="3" spans="1:14" s="151" customFormat="1" ht="10" customHeight="1" thickBot="1" x14ac:dyDescent="0.4">
      <c r="A3" s="264"/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156"/>
      <c r="M3" s="156"/>
      <c r="N3" s="156"/>
    </row>
    <row r="4" spans="1:14" ht="26.5" thickBot="1" x14ac:dyDescent="0.4">
      <c r="A4" s="242"/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153" t="s">
        <v>7</v>
      </c>
      <c r="M4" s="153" t="s">
        <v>8</v>
      </c>
      <c r="N4" s="152"/>
    </row>
    <row r="5" spans="1:14" ht="18.5" x14ac:dyDescent="0.35">
      <c r="A5" s="457" t="s">
        <v>55</v>
      </c>
      <c r="B5" s="458"/>
      <c r="C5" s="458"/>
      <c r="D5" s="458"/>
      <c r="E5" s="458"/>
      <c r="F5" s="458"/>
      <c r="G5" s="458"/>
      <c r="H5" s="243"/>
      <c r="I5" s="243"/>
      <c r="J5" s="243"/>
      <c r="K5" s="243"/>
      <c r="L5" s="154">
        <f>L28</f>
        <v>0</v>
      </c>
      <c r="M5" s="154">
        <f>M28</f>
        <v>0</v>
      </c>
      <c r="N5" s="152"/>
    </row>
    <row r="6" spans="1:14" ht="18.5" x14ac:dyDescent="0.35">
      <c r="A6" s="457" t="s">
        <v>37</v>
      </c>
      <c r="B6" s="458"/>
      <c r="C6" s="458"/>
      <c r="D6" s="458"/>
      <c r="E6" s="458"/>
      <c r="F6" s="458"/>
      <c r="G6" s="458"/>
      <c r="H6" s="243"/>
      <c r="I6" s="243"/>
      <c r="J6" s="243"/>
      <c r="K6" s="243"/>
      <c r="L6" s="154">
        <f>L123</f>
        <v>0</v>
      </c>
      <c r="M6" s="154">
        <f>M123</f>
        <v>0</v>
      </c>
      <c r="N6" s="152"/>
    </row>
    <row r="7" spans="1:14" ht="18.5" x14ac:dyDescent="0.35">
      <c r="A7" s="457" t="s">
        <v>43</v>
      </c>
      <c r="B7" s="458"/>
      <c r="C7" s="458"/>
      <c r="D7" s="458"/>
      <c r="E7" s="458"/>
      <c r="F7" s="458"/>
      <c r="G7" s="458"/>
      <c r="H7" s="243"/>
      <c r="I7" s="243"/>
      <c r="J7" s="243"/>
      <c r="K7" s="243"/>
      <c r="L7" s="154">
        <f>L146</f>
        <v>0</v>
      </c>
      <c r="M7" s="154">
        <f>M146</f>
        <v>0</v>
      </c>
      <c r="N7" s="152"/>
    </row>
    <row r="8" spans="1:14" ht="18.5" x14ac:dyDescent="0.35">
      <c r="A8" s="457" t="s">
        <v>45</v>
      </c>
      <c r="B8" s="458"/>
      <c r="C8" s="458"/>
      <c r="D8" s="458"/>
      <c r="E8" s="458"/>
      <c r="F8" s="458"/>
      <c r="G8" s="458"/>
      <c r="H8" s="243"/>
      <c r="I8" s="243"/>
      <c r="J8" s="243"/>
      <c r="K8" s="243"/>
      <c r="L8" s="154">
        <f>L181</f>
        <v>0</v>
      </c>
      <c r="M8" s="154">
        <f>M181</f>
        <v>0</v>
      </c>
      <c r="N8" s="152"/>
    </row>
    <row r="9" spans="1:14" ht="18.5" x14ac:dyDescent="0.35">
      <c r="A9" s="457" t="s">
        <v>56</v>
      </c>
      <c r="B9" s="458"/>
      <c r="C9" s="458"/>
      <c r="D9" s="458"/>
      <c r="E9" s="458"/>
      <c r="F9" s="458"/>
      <c r="G9" s="458"/>
      <c r="H9" s="243"/>
      <c r="I9" s="243"/>
      <c r="J9" s="243"/>
      <c r="K9" s="243"/>
      <c r="L9" s="154">
        <f>L230</f>
        <v>0</v>
      </c>
      <c r="M9" s="154">
        <f>M230</f>
        <v>0</v>
      </c>
      <c r="N9" s="152"/>
    </row>
    <row r="10" spans="1:14" ht="19" thickBot="1" x14ac:dyDescent="0.4">
      <c r="A10" s="457" t="s">
        <v>57</v>
      </c>
      <c r="B10" s="458"/>
      <c r="C10" s="458"/>
      <c r="D10" s="458"/>
      <c r="E10" s="458"/>
      <c r="F10" s="458"/>
      <c r="G10" s="458"/>
      <c r="H10" s="243"/>
      <c r="I10" s="243"/>
      <c r="J10" s="243"/>
      <c r="K10" s="243"/>
      <c r="L10" s="154">
        <v>0</v>
      </c>
      <c r="M10" s="154">
        <v>0</v>
      </c>
      <c r="N10" s="152"/>
    </row>
    <row r="11" spans="1:14" ht="26.5" thickBot="1" x14ac:dyDescent="0.4">
      <c r="A11" s="465" t="s">
        <v>468</v>
      </c>
      <c r="B11" s="458"/>
      <c r="C11" s="458"/>
      <c r="D11" s="458"/>
      <c r="E11" s="458"/>
      <c r="F11" s="458"/>
      <c r="G11" s="458"/>
      <c r="H11" s="458"/>
      <c r="I11" s="458"/>
      <c r="J11" s="458"/>
      <c r="K11" s="466"/>
      <c r="L11" s="155">
        <f>SUM(L5:L10)</f>
        <v>0</v>
      </c>
      <c r="M11" s="155">
        <f>SUM(M5:M10)</f>
        <v>0</v>
      </c>
      <c r="N11" s="152"/>
    </row>
    <row r="12" spans="1:14" ht="26" x14ac:dyDescent="0.35">
      <c r="A12" s="246"/>
      <c r="B12" s="247"/>
      <c r="C12" s="248"/>
      <c r="D12" s="248"/>
      <c r="E12" s="248"/>
      <c r="F12" s="248"/>
      <c r="G12" s="248"/>
      <c r="H12" s="248"/>
      <c r="I12" s="248"/>
      <c r="J12" s="248"/>
      <c r="K12" s="248"/>
    </row>
    <row r="13" spans="1:14" ht="19" thickBot="1" x14ac:dyDescent="0.4">
      <c r="A13" s="248"/>
      <c r="B13" s="269"/>
      <c r="C13" s="270"/>
      <c r="D13" s="270"/>
      <c r="E13" s="271"/>
      <c r="F13" s="271"/>
      <c r="G13" s="271"/>
      <c r="H13" s="248"/>
      <c r="I13" s="248"/>
      <c r="J13" s="248"/>
      <c r="K13" s="248"/>
    </row>
    <row r="14" spans="1:14" s="1" customFormat="1" ht="30.75" customHeight="1" thickBot="1" x14ac:dyDescent="0.4">
      <c r="A14" s="27" t="s">
        <v>25</v>
      </c>
      <c r="B14" s="27" t="s">
        <v>26</v>
      </c>
      <c r="C14" s="464" t="s">
        <v>27</v>
      </c>
      <c r="D14" s="460"/>
      <c r="E14" s="5"/>
      <c r="F14" s="459" t="s">
        <v>11</v>
      </c>
      <c r="G14" s="460"/>
      <c r="H14" s="4" t="s">
        <v>48</v>
      </c>
      <c r="I14" s="4" t="s">
        <v>0</v>
      </c>
      <c r="J14" s="4" t="s">
        <v>1</v>
      </c>
      <c r="K14" s="4" t="s">
        <v>2</v>
      </c>
      <c r="L14" s="4" t="s">
        <v>7</v>
      </c>
      <c r="M14" s="4" t="s">
        <v>8</v>
      </c>
      <c r="N14" s="4" t="s">
        <v>3</v>
      </c>
    </row>
    <row r="15" spans="1:14" s="204" customFormat="1" ht="15" customHeight="1" thickBot="1" x14ac:dyDescent="0.4">
      <c r="A15" s="285"/>
      <c r="B15" s="286"/>
      <c r="C15" s="287"/>
      <c r="D15" s="287"/>
      <c r="E15" s="271"/>
      <c r="F15" s="288"/>
      <c r="G15" s="288"/>
      <c r="H15" s="288"/>
      <c r="I15" s="288"/>
      <c r="J15" s="288"/>
      <c r="K15" s="288"/>
      <c r="L15" s="288"/>
      <c r="M15" s="288"/>
      <c r="N15" s="288"/>
    </row>
    <row r="16" spans="1:14" ht="18.5" x14ac:dyDescent="0.35">
      <c r="A16" s="476" t="s">
        <v>41</v>
      </c>
      <c r="B16" s="55"/>
      <c r="C16" s="45"/>
      <c r="D16" s="45"/>
      <c r="E16" s="46"/>
      <c r="F16" s="47"/>
      <c r="G16" s="47"/>
      <c r="H16" s="44"/>
      <c r="I16" s="48"/>
      <c r="J16" s="92"/>
      <c r="K16" s="49"/>
      <c r="L16" s="49"/>
      <c r="M16" s="49"/>
      <c r="N16" s="146"/>
    </row>
    <row r="17" spans="1:14" ht="21" customHeight="1" x14ac:dyDescent="0.35">
      <c r="A17" s="462"/>
      <c r="B17" s="57">
        <v>199</v>
      </c>
      <c r="C17" s="35" t="s">
        <v>9</v>
      </c>
      <c r="D17" s="35" t="s">
        <v>88</v>
      </c>
      <c r="E17" s="36"/>
      <c r="F17" s="37" t="s">
        <v>22</v>
      </c>
      <c r="G17" s="10"/>
      <c r="H17" s="103" t="s">
        <v>391</v>
      </c>
      <c r="I17" s="68" t="s">
        <v>4</v>
      </c>
      <c r="J17" s="95">
        <f>74+34*3.4</f>
        <v>189.6</v>
      </c>
      <c r="K17" s="312">
        <v>0</v>
      </c>
      <c r="L17" s="141"/>
      <c r="M17" s="69">
        <f>K17*J17</f>
        <v>0</v>
      </c>
      <c r="N17" s="147"/>
    </row>
    <row r="18" spans="1:14" ht="21" customHeight="1" x14ac:dyDescent="0.35">
      <c r="A18" s="462"/>
      <c r="B18" s="56"/>
      <c r="C18" s="18"/>
      <c r="D18" s="18"/>
      <c r="E18" s="9"/>
      <c r="F18" s="25"/>
      <c r="G18" s="11"/>
      <c r="H18" s="103" t="s">
        <v>392</v>
      </c>
      <c r="I18" s="68" t="s">
        <v>4</v>
      </c>
      <c r="J18" s="95">
        <f>74+34*3.4</f>
        <v>189.6</v>
      </c>
      <c r="K18" s="312">
        <v>0</v>
      </c>
      <c r="L18" s="141"/>
      <c r="M18" s="69">
        <f>K18*J18</f>
        <v>0</v>
      </c>
      <c r="N18" s="148"/>
    </row>
    <row r="19" spans="1:14" ht="21" x14ac:dyDescent="0.35">
      <c r="A19" s="462"/>
      <c r="B19" s="56"/>
      <c r="C19" s="18"/>
      <c r="D19" s="18"/>
      <c r="E19" s="7"/>
      <c r="F19" s="25"/>
      <c r="G19" s="12"/>
      <c r="H19" s="103" t="s">
        <v>20</v>
      </c>
      <c r="I19" s="68" t="s">
        <v>4</v>
      </c>
      <c r="J19" s="95">
        <f>74</f>
        <v>74</v>
      </c>
      <c r="K19" s="312">
        <v>0</v>
      </c>
      <c r="L19" s="141"/>
      <c r="M19" s="69">
        <f>K19*J19</f>
        <v>0</v>
      </c>
      <c r="N19" s="169"/>
    </row>
    <row r="20" spans="1:14" s="43" customFormat="1" ht="21" x14ac:dyDescent="0.35">
      <c r="A20" s="462"/>
      <c r="B20" s="56"/>
      <c r="C20" s="18"/>
      <c r="D20" s="18"/>
      <c r="E20" s="7"/>
      <c r="F20" s="25"/>
      <c r="G20" s="12"/>
      <c r="H20" s="103"/>
      <c r="I20" s="68"/>
      <c r="J20" s="95"/>
      <c r="K20" s="69"/>
      <c r="L20" s="69"/>
      <c r="M20" s="69"/>
      <c r="N20" s="169"/>
    </row>
    <row r="21" spans="1:14" ht="21" x14ac:dyDescent="0.35">
      <c r="A21" s="462"/>
      <c r="B21" s="57">
        <v>200</v>
      </c>
      <c r="C21" s="35" t="s">
        <v>9</v>
      </c>
      <c r="D21" s="35" t="s">
        <v>89</v>
      </c>
      <c r="E21" s="38"/>
      <c r="F21" s="39" t="s">
        <v>21</v>
      </c>
      <c r="G21" s="12"/>
      <c r="H21" s="103" t="s">
        <v>610</v>
      </c>
      <c r="I21" s="68" t="s">
        <v>6</v>
      </c>
      <c r="J21" s="95">
        <v>1</v>
      </c>
      <c r="K21" s="312">
        <v>0</v>
      </c>
      <c r="L21" s="141"/>
      <c r="M21" s="69">
        <f>K21*J21</f>
        <v>0</v>
      </c>
      <c r="N21" s="148"/>
    </row>
    <row r="22" spans="1:14" ht="21" x14ac:dyDescent="0.35">
      <c r="A22" s="462"/>
      <c r="B22" s="56"/>
      <c r="C22" s="18"/>
      <c r="D22" s="18"/>
      <c r="E22" s="7"/>
      <c r="F22" s="25"/>
      <c r="G22" s="12"/>
      <c r="H22" s="103"/>
      <c r="I22" s="68"/>
      <c r="J22" s="95"/>
      <c r="K22" s="69"/>
      <c r="L22" s="69"/>
      <c r="M22" s="69"/>
      <c r="N22" s="148"/>
    </row>
    <row r="23" spans="1:14" ht="18.5" x14ac:dyDescent="0.35">
      <c r="A23" s="462"/>
      <c r="B23" s="57">
        <v>201</v>
      </c>
      <c r="C23" s="35" t="s">
        <v>9</v>
      </c>
      <c r="D23" s="35" t="s">
        <v>90</v>
      </c>
      <c r="E23" s="40"/>
      <c r="F23" s="39" t="s">
        <v>96</v>
      </c>
      <c r="G23" s="13"/>
      <c r="H23" s="103" t="s">
        <v>98</v>
      </c>
      <c r="I23" s="68" t="s">
        <v>6</v>
      </c>
      <c r="J23" s="95">
        <v>1</v>
      </c>
      <c r="K23" s="312">
        <v>0</v>
      </c>
      <c r="L23" s="141"/>
      <c r="M23" s="69">
        <f>K23*J23</f>
        <v>0</v>
      </c>
      <c r="N23" s="148"/>
    </row>
    <row r="24" spans="1:14" s="43" customFormat="1" ht="18.5" x14ac:dyDescent="0.35">
      <c r="A24" s="462"/>
      <c r="B24" s="249"/>
      <c r="C24" s="259"/>
      <c r="D24" s="259"/>
      <c r="E24" s="251"/>
      <c r="F24" s="265"/>
      <c r="G24" s="13"/>
      <c r="H24" s="103" t="s">
        <v>97</v>
      </c>
      <c r="I24" s="68" t="s">
        <v>6</v>
      </c>
      <c r="J24" s="95">
        <v>1</v>
      </c>
      <c r="K24" s="312">
        <v>0</v>
      </c>
      <c r="L24" s="141"/>
      <c r="M24" s="69">
        <f>K24*J24</f>
        <v>0</v>
      </c>
      <c r="N24" s="148"/>
    </row>
    <row r="25" spans="1:14" s="43" customFormat="1" ht="21" x14ac:dyDescent="0.35">
      <c r="A25" s="462"/>
      <c r="B25" s="249"/>
      <c r="C25" s="259"/>
      <c r="D25" s="259"/>
      <c r="E25" s="284"/>
      <c r="F25" s="265"/>
      <c r="G25" s="12"/>
      <c r="H25" s="103"/>
      <c r="I25" s="68"/>
      <c r="J25" s="95"/>
      <c r="K25" s="69"/>
      <c r="L25" s="69"/>
      <c r="M25" s="69"/>
      <c r="N25" s="148"/>
    </row>
    <row r="26" spans="1:14" s="43" customFormat="1" ht="18.5" x14ac:dyDescent="0.35">
      <c r="A26" s="462"/>
      <c r="B26" s="57">
        <v>202</v>
      </c>
      <c r="C26" s="35" t="s">
        <v>9</v>
      </c>
      <c r="D26" s="35" t="s">
        <v>91</v>
      </c>
      <c r="E26" s="40"/>
      <c r="F26" s="39" t="s">
        <v>37</v>
      </c>
      <c r="G26" s="13"/>
      <c r="H26" s="103" t="s">
        <v>545</v>
      </c>
      <c r="I26" s="68" t="s">
        <v>6</v>
      </c>
      <c r="J26" s="95">
        <v>1</v>
      </c>
      <c r="K26" s="312">
        <v>0</v>
      </c>
      <c r="L26" s="141"/>
      <c r="M26" s="69">
        <f>K26*J26</f>
        <v>0</v>
      </c>
      <c r="N26" s="148"/>
    </row>
    <row r="27" spans="1:14" s="43" customFormat="1" ht="19" thickBot="1" x14ac:dyDescent="0.4">
      <c r="A27" s="462"/>
      <c r="B27" s="59"/>
      <c r="C27" s="41"/>
      <c r="D27" s="41"/>
      <c r="E27" s="61"/>
      <c r="F27" s="62"/>
      <c r="G27" s="13"/>
      <c r="H27" s="103"/>
      <c r="I27" s="68"/>
      <c r="J27" s="95"/>
      <c r="K27" s="69"/>
      <c r="L27" s="69"/>
      <c r="M27" s="69"/>
      <c r="N27" s="148"/>
    </row>
    <row r="28" spans="1:14" ht="19" thickBot="1" x14ac:dyDescent="0.4">
      <c r="A28" s="462"/>
      <c r="B28" s="453" t="s">
        <v>13</v>
      </c>
      <c r="C28" s="454"/>
      <c r="D28" s="454"/>
      <c r="E28" s="454"/>
      <c r="F28" s="454"/>
      <c r="G28" s="140"/>
      <c r="H28" s="140" t="s">
        <v>459</v>
      </c>
      <c r="I28" s="50"/>
      <c r="J28" s="94"/>
      <c r="K28" s="51"/>
      <c r="L28" s="52">
        <f>SUM(L17:L26)</f>
        <v>0</v>
      </c>
      <c r="M28" s="53">
        <f>SUM(M17:M26)</f>
        <v>0</v>
      </c>
      <c r="N28" s="148"/>
    </row>
    <row r="29" spans="1:14" ht="19" thickBot="1" x14ac:dyDescent="0.4">
      <c r="A29" s="463"/>
      <c r="B29" s="58"/>
      <c r="C29" s="21"/>
      <c r="D29" s="21"/>
      <c r="E29" s="14"/>
      <c r="F29" s="15"/>
      <c r="G29" s="15"/>
      <c r="H29" s="16"/>
      <c r="I29" s="17"/>
      <c r="J29" s="96"/>
      <c r="K29" s="277"/>
      <c r="L29" s="278"/>
      <c r="M29" s="276"/>
      <c r="N29" s="219"/>
    </row>
    <row r="30" spans="1:14" ht="18.5" x14ac:dyDescent="0.35">
      <c r="A30" s="472" t="s">
        <v>40</v>
      </c>
      <c r="B30" s="56"/>
      <c r="C30" s="20"/>
      <c r="D30" s="20"/>
      <c r="E30" s="8"/>
      <c r="F30" s="13"/>
      <c r="G30" s="13"/>
      <c r="H30" s="141"/>
      <c r="I30" s="68"/>
      <c r="J30" s="95"/>
      <c r="K30" s="69"/>
      <c r="L30" s="69"/>
      <c r="M30" s="69"/>
      <c r="N30" s="146"/>
    </row>
    <row r="31" spans="1:14" ht="18.5" x14ac:dyDescent="0.35">
      <c r="A31" s="473"/>
      <c r="B31" s="57">
        <v>203</v>
      </c>
      <c r="C31" s="35" t="s">
        <v>14</v>
      </c>
      <c r="D31" s="35" t="s">
        <v>90</v>
      </c>
      <c r="E31" s="40"/>
      <c r="F31" s="160" t="s">
        <v>32</v>
      </c>
      <c r="G31" s="161" t="s">
        <v>17</v>
      </c>
      <c r="H31" s="103" t="s">
        <v>475</v>
      </c>
      <c r="I31" s="68" t="s">
        <v>5</v>
      </c>
      <c r="J31" s="95">
        <f>1.78*2+0.83*2</f>
        <v>5.22</v>
      </c>
      <c r="K31" s="312">
        <v>0</v>
      </c>
      <c r="L31" s="69">
        <f>K31*J31</f>
        <v>0</v>
      </c>
      <c r="M31" s="312">
        <v>0</v>
      </c>
      <c r="N31" s="148"/>
    </row>
    <row r="32" spans="1:14" ht="18.5" x14ac:dyDescent="0.35">
      <c r="A32" s="473"/>
      <c r="B32" s="56"/>
      <c r="C32" s="20"/>
      <c r="D32" s="20"/>
      <c r="E32" s="8"/>
      <c r="F32" s="13"/>
      <c r="G32" s="161"/>
      <c r="H32" s="103" t="s">
        <v>476</v>
      </c>
      <c r="I32" s="68" t="s">
        <v>5</v>
      </c>
      <c r="J32" s="95">
        <f>3*0.75</f>
        <v>2.25</v>
      </c>
      <c r="K32" s="312">
        <v>0</v>
      </c>
      <c r="L32" s="69">
        <f>K32*J32</f>
        <v>0</v>
      </c>
      <c r="M32" s="312">
        <v>0</v>
      </c>
      <c r="N32" s="148"/>
    </row>
    <row r="33" spans="1:14" x14ac:dyDescent="0.35">
      <c r="A33" s="473"/>
      <c r="B33" s="56"/>
      <c r="C33" s="8"/>
      <c r="D33" s="8"/>
      <c r="E33" s="8"/>
      <c r="F33" s="13"/>
      <c r="G33" s="161"/>
      <c r="H33" s="103" t="s">
        <v>705</v>
      </c>
      <c r="I33" s="68" t="s">
        <v>5</v>
      </c>
      <c r="J33" s="95">
        <f>3*0.75*0.03</f>
        <v>6.7500000000000004E-2</v>
      </c>
      <c r="K33" s="312">
        <v>0</v>
      </c>
      <c r="L33" s="69">
        <f>K33*J33</f>
        <v>0</v>
      </c>
      <c r="M33" s="312">
        <v>0</v>
      </c>
      <c r="N33" s="148"/>
    </row>
    <row r="34" spans="1:14" x14ac:dyDescent="0.35">
      <c r="A34" s="473"/>
      <c r="B34" s="56"/>
      <c r="C34" s="8"/>
      <c r="D34" s="8"/>
      <c r="E34" s="8"/>
      <c r="F34" s="13"/>
      <c r="G34" s="161"/>
      <c r="H34" s="103"/>
      <c r="I34" s="68"/>
      <c r="J34" s="95"/>
      <c r="K34" s="69"/>
      <c r="L34" s="69"/>
      <c r="M34" s="69"/>
      <c r="N34" s="148"/>
    </row>
    <row r="35" spans="1:14" x14ac:dyDescent="0.35">
      <c r="A35" s="473"/>
      <c r="B35" s="56"/>
      <c r="C35" s="8"/>
      <c r="D35" s="8"/>
      <c r="E35" s="8"/>
      <c r="F35" s="13"/>
      <c r="G35" s="161" t="s">
        <v>18</v>
      </c>
      <c r="H35" s="103" t="s">
        <v>498</v>
      </c>
      <c r="I35" s="68" t="s">
        <v>4</v>
      </c>
      <c r="J35" s="95">
        <f>J31*2*0.04*3+0.5</f>
        <v>1.7527999999999999</v>
      </c>
      <c r="K35" s="312">
        <v>0</v>
      </c>
      <c r="L35" s="69">
        <f>K35*J35</f>
        <v>0</v>
      </c>
      <c r="M35" s="312">
        <v>0</v>
      </c>
      <c r="N35" s="148" t="s">
        <v>519</v>
      </c>
    </row>
    <row r="36" spans="1:14" x14ac:dyDescent="0.35">
      <c r="A36" s="473"/>
      <c r="B36" s="56"/>
      <c r="C36" s="8"/>
      <c r="D36" s="8"/>
      <c r="E36" s="8"/>
      <c r="F36" s="13"/>
      <c r="G36" s="161"/>
      <c r="H36" s="103"/>
      <c r="I36" s="68"/>
      <c r="J36" s="95"/>
      <c r="K36" s="69"/>
      <c r="L36" s="69"/>
      <c r="M36" s="69"/>
      <c r="N36" s="148"/>
    </row>
    <row r="37" spans="1:14" x14ac:dyDescent="0.35">
      <c r="A37" s="473"/>
      <c r="B37" s="56"/>
      <c r="C37" s="8"/>
      <c r="D37" s="8"/>
      <c r="E37" s="8"/>
      <c r="F37" s="13"/>
      <c r="G37" s="161" t="s">
        <v>19</v>
      </c>
      <c r="H37" s="103" t="s">
        <v>770</v>
      </c>
      <c r="I37" s="68" t="s">
        <v>4</v>
      </c>
      <c r="J37" s="95">
        <f>0.79*0.79</f>
        <v>0.6241000000000001</v>
      </c>
      <c r="K37" s="312">
        <v>0</v>
      </c>
      <c r="L37" s="69">
        <f>K37*J37</f>
        <v>0</v>
      </c>
      <c r="M37" s="312">
        <v>0</v>
      </c>
      <c r="N37" s="148"/>
    </row>
    <row r="38" spans="1:14" x14ac:dyDescent="0.35">
      <c r="A38" s="473"/>
      <c r="B38" s="56"/>
      <c r="C38" s="8"/>
      <c r="D38" s="8"/>
      <c r="E38" s="8"/>
      <c r="F38" s="13"/>
      <c r="G38" s="13"/>
      <c r="H38" s="103"/>
      <c r="I38" s="68"/>
      <c r="J38" s="95"/>
      <c r="K38" s="69"/>
      <c r="L38" s="69"/>
      <c r="M38" s="69"/>
      <c r="N38" s="148"/>
    </row>
    <row r="39" spans="1:14" ht="15.5" x14ac:dyDescent="0.35">
      <c r="A39" s="473"/>
      <c r="B39" s="76"/>
      <c r="C39" s="77"/>
      <c r="D39" s="77"/>
      <c r="E39" s="77"/>
      <c r="F39" s="30"/>
      <c r="G39" s="31"/>
      <c r="H39" s="32" t="s">
        <v>459</v>
      </c>
      <c r="I39" s="33"/>
      <c r="J39" s="98"/>
      <c r="K39" s="34"/>
      <c r="L39" s="137">
        <f>SUM(L31:L37)</f>
        <v>0</v>
      </c>
      <c r="M39" s="137">
        <f>SUM(M31:M37)</f>
        <v>0</v>
      </c>
      <c r="N39" s="148"/>
    </row>
    <row r="40" spans="1:14" x14ac:dyDescent="0.35">
      <c r="A40" s="473"/>
      <c r="B40" s="56"/>
      <c r="C40" s="8"/>
      <c r="D40" s="8"/>
      <c r="E40" s="8"/>
      <c r="F40" s="28"/>
      <c r="G40" s="28"/>
      <c r="H40" s="29"/>
      <c r="I40" s="29"/>
      <c r="J40" s="97"/>
      <c r="K40" s="29"/>
      <c r="L40" s="29"/>
      <c r="M40" s="29"/>
      <c r="N40" s="148"/>
    </row>
    <row r="41" spans="1:14" ht="18.5" x14ac:dyDescent="0.35">
      <c r="A41" s="473"/>
      <c r="B41" s="57">
        <v>204</v>
      </c>
      <c r="C41" s="35" t="s">
        <v>14</v>
      </c>
      <c r="D41" s="35" t="s">
        <v>89</v>
      </c>
      <c r="E41" s="40"/>
      <c r="F41" s="160" t="s">
        <v>95</v>
      </c>
      <c r="G41" s="161" t="s">
        <v>16</v>
      </c>
      <c r="H41" s="103" t="s">
        <v>490</v>
      </c>
      <c r="I41" s="68" t="s">
        <v>4</v>
      </c>
      <c r="J41" s="95">
        <f>2*(2*(0.9+0.9+2.1+0.99+2.1*0.99))+1.045*3.59</f>
        <v>31.627550000000003</v>
      </c>
      <c r="K41" s="312">
        <v>0</v>
      </c>
      <c r="L41" s="69">
        <f>K41*J41</f>
        <v>0</v>
      </c>
      <c r="M41" s="312">
        <v>0</v>
      </c>
      <c r="N41" s="148" t="s">
        <v>436</v>
      </c>
    </row>
    <row r="42" spans="1:14" x14ac:dyDescent="0.35">
      <c r="A42" s="473"/>
      <c r="B42" s="56"/>
      <c r="C42" s="8"/>
      <c r="D42" s="8"/>
      <c r="E42" s="8"/>
      <c r="F42" s="13"/>
      <c r="G42" s="161"/>
      <c r="H42" s="103" t="s">
        <v>611</v>
      </c>
      <c r="I42" s="68" t="s">
        <v>4</v>
      </c>
      <c r="J42" s="95">
        <f>2*(1.97*0.63+1.94*1.42+1.96*0.77)</f>
        <v>11.010199999999999</v>
      </c>
      <c r="K42" s="312">
        <v>0</v>
      </c>
      <c r="L42" s="69">
        <f>K42*J42</f>
        <v>0</v>
      </c>
      <c r="M42" s="312">
        <v>0</v>
      </c>
      <c r="N42" s="148"/>
    </row>
    <row r="43" spans="1:14" ht="18.5" x14ac:dyDescent="0.35">
      <c r="A43" s="473"/>
      <c r="B43" s="56"/>
      <c r="C43" s="20"/>
      <c r="D43" s="20"/>
      <c r="E43" s="8"/>
      <c r="F43" s="13"/>
      <c r="G43" s="161"/>
      <c r="H43" s="103"/>
      <c r="I43" s="68"/>
      <c r="J43" s="95"/>
      <c r="K43" s="69"/>
      <c r="L43" s="69"/>
      <c r="M43" s="69"/>
      <c r="N43" s="148"/>
    </row>
    <row r="44" spans="1:14" x14ac:dyDescent="0.35">
      <c r="A44" s="473"/>
      <c r="B44" s="56"/>
      <c r="C44" s="8"/>
      <c r="D44" s="8"/>
      <c r="E44" s="8"/>
      <c r="F44" s="13"/>
      <c r="G44" s="161" t="s">
        <v>17</v>
      </c>
      <c r="H44" s="103" t="s">
        <v>457</v>
      </c>
      <c r="I44" s="68" t="s">
        <v>5</v>
      </c>
      <c r="J44" s="95">
        <f>(2*(2*7+0.9*3+2*0.95+3*0.99+3*(2.1*3+0.9+0.95+0.99)))+(3.54*4+1.045*4)</f>
        <v>116.32</v>
      </c>
      <c r="K44" s="312">
        <v>0</v>
      </c>
      <c r="L44" s="69">
        <f>K44*J44</f>
        <v>0</v>
      </c>
      <c r="M44" s="312">
        <v>0</v>
      </c>
      <c r="N44" s="148"/>
    </row>
    <row r="45" spans="1:14" ht="43.5" x14ac:dyDescent="0.35">
      <c r="A45" s="473"/>
      <c r="B45" s="56"/>
      <c r="C45" s="8"/>
      <c r="D45" s="8"/>
      <c r="E45" s="8"/>
      <c r="F45" s="13"/>
      <c r="G45" s="161"/>
      <c r="H45" s="224" t="s">
        <v>765</v>
      </c>
      <c r="I45" s="68" t="s">
        <v>4</v>
      </c>
      <c r="J45" s="95">
        <f>(2.17*4+2*2+3.545*2)*0.06</f>
        <v>1.1861999999999999</v>
      </c>
      <c r="K45" s="312">
        <v>0</v>
      </c>
      <c r="L45" s="69">
        <f>K45*J45</f>
        <v>0</v>
      </c>
      <c r="M45" s="312">
        <v>0</v>
      </c>
      <c r="N45" s="148"/>
    </row>
    <row r="46" spans="1:14" ht="43.5" x14ac:dyDescent="0.35">
      <c r="A46" s="473"/>
      <c r="B46" s="56"/>
      <c r="C46" s="8"/>
      <c r="D46" s="8"/>
      <c r="E46" s="8"/>
      <c r="F46" s="13"/>
      <c r="G46" s="161"/>
      <c r="H46" s="224" t="s">
        <v>766</v>
      </c>
      <c r="I46" s="68" t="s">
        <v>4</v>
      </c>
      <c r="J46" s="95">
        <f>2*2*0.07</f>
        <v>0.28000000000000003</v>
      </c>
      <c r="K46" s="312">
        <v>0</v>
      </c>
      <c r="L46" s="69">
        <f>K46*J46</f>
        <v>0</v>
      </c>
      <c r="M46" s="312">
        <v>0</v>
      </c>
      <c r="N46" s="148"/>
    </row>
    <row r="47" spans="1:14" x14ac:dyDescent="0.35">
      <c r="A47" s="473"/>
      <c r="B47" s="56"/>
      <c r="C47" s="8"/>
      <c r="D47" s="8"/>
      <c r="E47" s="8"/>
      <c r="F47" s="13"/>
      <c r="G47" s="161"/>
      <c r="H47" s="103" t="s">
        <v>612</v>
      </c>
      <c r="I47" s="68" t="s">
        <v>4</v>
      </c>
      <c r="J47" s="95">
        <f>3*(2*(0.55*0.37+0.55*0.04*2+0.37*0.04*2))+3*(2*(0.55*0.37+0.55*0.06*2+0.37*0.06*2))</f>
        <v>3.5460000000000003</v>
      </c>
      <c r="K47" s="312">
        <v>0</v>
      </c>
      <c r="L47" s="69">
        <f>K47*J47</f>
        <v>0</v>
      </c>
      <c r="M47" s="312">
        <v>0</v>
      </c>
      <c r="N47" s="148"/>
    </row>
    <row r="48" spans="1:14" x14ac:dyDescent="0.35">
      <c r="A48" s="473"/>
      <c r="B48" s="56"/>
      <c r="C48" s="8"/>
      <c r="D48" s="8"/>
      <c r="E48" s="8"/>
      <c r="F48" s="13"/>
      <c r="G48" s="161"/>
      <c r="H48" s="103" t="s">
        <v>613</v>
      </c>
      <c r="I48" s="68" t="s">
        <v>5</v>
      </c>
      <c r="J48" s="95">
        <f>(0.6+0.4+0.3+0.38+0.31+0.4)*1.2</f>
        <v>2.8679999999999999</v>
      </c>
      <c r="K48" s="312">
        <v>0</v>
      </c>
      <c r="L48" s="69">
        <f>K48*J48</f>
        <v>0</v>
      </c>
      <c r="M48" s="312">
        <v>0</v>
      </c>
      <c r="N48" s="148"/>
    </row>
    <row r="49" spans="1:14" x14ac:dyDescent="0.35">
      <c r="A49" s="473"/>
      <c r="B49" s="56"/>
      <c r="C49" s="8"/>
      <c r="D49" s="8"/>
      <c r="E49" s="8"/>
      <c r="F49" s="13"/>
      <c r="G49" s="161"/>
      <c r="H49" s="103"/>
      <c r="I49" s="68"/>
      <c r="J49" s="95"/>
      <c r="K49" s="69"/>
      <c r="L49" s="69"/>
      <c r="M49" s="69"/>
      <c r="N49" s="148"/>
    </row>
    <row r="50" spans="1:14" x14ac:dyDescent="0.35">
      <c r="A50" s="473"/>
      <c r="B50" s="56"/>
      <c r="C50" s="8"/>
      <c r="D50" s="8"/>
      <c r="E50" s="8"/>
      <c r="F50" s="13"/>
      <c r="G50" s="161" t="s">
        <v>18</v>
      </c>
      <c r="H50" s="103" t="s">
        <v>370</v>
      </c>
      <c r="I50" s="68" t="s">
        <v>4</v>
      </c>
      <c r="J50" s="95">
        <f>J41</f>
        <v>31.627550000000003</v>
      </c>
      <c r="K50" s="312">
        <v>0</v>
      </c>
      <c r="L50" s="69">
        <f>K50*J50</f>
        <v>0</v>
      </c>
      <c r="M50" s="312">
        <v>0</v>
      </c>
      <c r="N50" s="148" t="s">
        <v>519</v>
      </c>
    </row>
    <row r="51" spans="1:14" s="79" customFormat="1" x14ac:dyDescent="0.35">
      <c r="A51" s="473"/>
      <c r="B51" s="56"/>
      <c r="C51" s="8"/>
      <c r="D51" s="8"/>
      <c r="E51" s="8"/>
      <c r="F51" s="13"/>
      <c r="G51" s="161"/>
      <c r="H51" s="103" t="s">
        <v>149</v>
      </c>
      <c r="I51" s="68" t="s">
        <v>4</v>
      </c>
      <c r="J51" s="95">
        <f>J42</f>
        <v>11.010199999999999</v>
      </c>
      <c r="K51" s="312">
        <v>0</v>
      </c>
      <c r="L51" s="69">
        <f>K51*J51</f>
        <v>0</v>
      </c>
      <c r="M51" s="312">
        <v>0</v>
      </c>
      <c r="N51" s="148" t="s">
        <v>519</v>
      </c>
    </row>
    <row r="52" spans="1:14" x14ac:dyDescent="0.35">
      <c r="A52" s="473"/>
      <c r="B52" s="56"/>
      <c r="C52" s="8"/>
      <c r="D52" s="8"/>
      <c r="E52" s="8"/>
      <c r="F52" s="13"/>
      <c r="G52" s="161"/>
      <c r="H52" s="103"/>
      <c r="I52" s="68"/>
      <c r="J52" s="95"/>
      <c r="K52" s="69"/>
      <c r="L52" s="69"/>
      <c r="M52" s="69"/>
      <c r="N52" s="148"/>
    </row>
    <row r="53" spans="1:14" x14ac:dyDescent="0.35">
      <c r="A53" s="473"/>
      <c r="B53" s="56"/>
      <c r="C53" s="8"/>
      <c r="D53" s="8"/>
      <c r="E53" s="8"/>
      <c r="F53" s="13"/>
      <c r="G53" s="161" t="s">
        <v>19</v>
      </c>
      <c r="H53" s="103" t="s">
        <v>772</v>
      </c>
      <c r="I53" s="68" t="s">
        <v>4</v>
      </c>
      <c r="J53" s="95">
        <f>2*2.2*1.9</f>
        <v>8.36</v>
      </c>
      <c r="K53" s="312">
        <v>0</v>
      </c>
      <c r="L53" s="69">
        <f>K53*J53</f>
        <v>0</v>
      </c>
      <c r="M53" s="312">
        <v>0</v>
      </c>
      <c r="N53" s="148"/>
    </row>
    <row r="54" spans="1:14" x14ac:dyDescent="0.35">
      <c r="A54" s="473"/>
      <c r="B54" s="56"/>
      <c r="C54" s="8"/>
      <c r="D54" s="8"/>
      <c r="E54" s="8"/>
      <c r="F54" s="13"/>
      <c r="G54" s="161"/>
      <c r="H54" s="103" t="s">
        <v>614</v>
      </c>
      <c r="I54" s="68" t="s">
        <v>4</v>
      </c>
      <c r="J54" s="95">
        <f>3*0.54*0.36</f>
        <v>0.58320000000000005</v>
      </c>
      <c r="K54" s="312">
        <v>0</v>
      </c>
      <c r="L54" s="69">
        <f>K54*J54</f>
        <v>0</v>
      </c>
      <c r="M54" s="312">
        <v>0</v>
      </c>
      <c r="N54" s="148"/>
    </row>
    <row r="55" spans="1:14" x14ac:dyDescent="0.35">
      <c r="A55" s="473"/>
      <c r="B55" s="56"/>
      <c r="C55" s="8"/>
      <c r="D55" s="8"/>
      <c r="E55" s="8"/>
      <c r="F55" s="13"/>
      <c r="G55" s="161"/>
      <c r="H55" s="103"/>
      <c r="I55" s="68"/>
      <c r="J55" s="95"/>
      <c r="K55" s="69"/>
      <c r="L55" s="69"/>
      <c r="M55" s="69"/>
      <c r="N55" s="148"/>
    </row>
    <row r="56" spans="1:14" x14ac:dyDescent="0.35">
      <c r="A56" s="473"/>
      <c r="B56" s="56"/>
      <c r="C56" s="8"/>
      <c r="D56" s="8"/>
      <c r="E56" s="8"/>
      <c r="F56" s="13"/>
      <c r="G56" s="13" t="s">
        <v>28</v>
      </c>
      <c r="H56" s="103" t="s">
        <v>615</v>
      </c>
      <c r="I56" s="68" t="s">
        <v>4</v>
      </c>
      <c r="J56" s="95">
        <f>3.66*2</f>
        <v>7.32</v>
      </c>
      <c r="K56" s="312">
        <v>0</v>
      </c>
      <c r="L56" s="69">
        <f>K56*J56</f>
        <v>0</v>
      </c>
      <c r="M56" s="312">
        <v>0</v>
      </c>
      <c r="N56" s="148"/>
    </row>
    <row r="57" spans="1:14" x14ac:dyDescent="0.35">
      <c r="A57" s="473"/>
      <c r="B57" s="56"/>
      <c r="C57" s="8"/>
      <c r="D57" s="8"/>
      <c r="E57" s="8"/>
      <c r="F57" s="13"/>
      <c r="G57" s="13"/>
      <c r="H57" s="103" t="s">
        <v>99</v>
      </c>
      <c r="I57" s="68" t="s">
        <v>6</v>
      </c>
      <c r="J57" s="95">
        <v>6</v>
      </c>
      <c r="K57" s="312">
        <v>0</v>
      </c>
      <c r="L57" s="69">
        <f>K57*J57</f>
        <v>0</v>
      </c>
      <c r="M57" s="312">
        <v>0</v>
      </c>
      <c r="N57" s="148"/>
    </row>
    <row r="58" spans="1:14" x14ac:dyDescent="0.35">
      <c r="A58" s="473"/>
      <c r="B58" s="56"/>
      <c r="C58" s="8"/>
      <c r="D58" s="8"/>
      <c r="E58" s="8"/>
      <c r="F58" s="13"/>
      <c r="G58" s="13"/>
      <c r="H58" s="228" t="s">
        <v>153</v>
      </c>
      <c r="I58" s="211" t="s">
        <v>6</v>
      </c>
      <c r="J58" s="212">
        <v>4</v>
      </c>
      <c r="K58" s="312">
        <v>0</v>
      </c>
      <c r="L58" s="69">
        <f>K58*J58</f>
        <v>0</v>
      </c>
      <c r="M58" s="312">
        <v>0</v>
      </c>
      <c r="N58" s="148"/>
    </row>
    <row r="59" spans="1:14" s="135" customFormat="1" x14ac:dyDescent="0.35">
      <c r="A59" s="473"/>
      <c r="B59" s="56"/>
      <c r="C59" s="8"/>
      <c r="D59" s="8"/>
      <c r="E59" s="8"/>
      <c r="F59" s="13"/>
      <c r="G59" s="13"/>
      <c r="H59" s="213" t="s">
        <v>402</v>
      </c>
      <c r="I59" s="214" t="s">
        <v>6</v>
      </c>
      <c r="J59" s="215">
        <v>10</v>
      </c>
      <c r="K59" s="312">
        <v>0</v>
      </c>
      <c r="L59" s="69">
        <f>K59*J59</f>
        <v>0</v>
      </c>
      <c r="M59" s="312">
        <v>0</v>
      </c>
      <c r="N59" s="148" t="s">
        <v>721</v>
      </c>
    </row>
    <row r="60" spans="1:14" x14ac:dyDescent="0.35">
      <c r="A60" s="473"/>
      <c r="B60" s="56"/>
      <c r="C60" s="8"/>
      <c r="D60" s="8"/>
      <c r="E60" s="8"/>
      <c r="F60" s="13"/>
      <c r="G60" s="13"/>
      <c r="H60" s="228"/>
      <c r="I60" s="211"/>
      <c r="J60" s="212"/>
      <c r="K60" s="220"/>
      <c r="L60" s="69"/>
      <c r="M60" s="69"/>
      <c r="N60" s="148"/>
    </row>
    <row r="61" spans="1:14" ht="15.5" x14ac:dyDescent="0.35">
      <c r="A61" s="473"/>
      <c r="B61" s="76"/>
      <c r="C61" s="77"/>
      <c r="D61" s="77"/>
      <c r="E61" s="77"/>
      <c r="F61" s="30"/>
      <c r="G61" s="31"/>
      <c r="H61" s="32" t="s">
        <v>459</v>
      </c>
      <c r="I61" s="33"/>
      <c r="J61" s="98"/>
      <c r="K61" s="34"/>
      <c r="L61" s="137">
        <f>SUM(L41:L60)</f>
        <v>0</v>
      </c>
      <c r="M61" s="137">
        <f>SUM(M41:M60)</f>
        <v>0</v>
      </c>
      <c r="N61" s="148"/>
    </row>
    <row r="62" spans="1:14" x14ac:dyDescent="0.35">
      <c r="A62" s="473"/>
      <c r="B62" s="56"/>
      <c r="C62" s="8"/>
      <c r="D62" s="8"/>
      <c r="E62" s="8"/>
      <c r="F62" s="28"/>
      <c r="G62" s="28"/>
      <c r="H62" s="29"/>
      <c r="I62" s="29"/>
      <c r="J62" s="97"/>
      <c r="K62" s="29"/>
      <c r="L62" s="29"/>
      <c r="M62" s="29"/>
      <c r="N62" s="148"/>
    </row>
    <row r="63" spans="1:14" ht="18.5" x14ac:dyDescent="0.35">
      <c r="A63" s="473"/>
      <c r="B63" s="57">
        <v>205</v>
      </c>
      <c r="C63" s="35" t="s">
        <v>14</v>
      </c>
      <c r="D63" s="35" t="s">
        <v>90</v>
      </c>
      <c r="E63" s="40"/>
      <c r="F63" s="160" t="s">
        <v>31</v>
      </c>
      <c r="G63" s="161" t="s">
        <v>16</v>
      </c>
      <c r="H63" s="103" t="s">
        <v>456</v>
      </c>
      <c r="I63" s="68" t="s">
        <v>4</v>
      </c>
      <c r="J63" s="95">
        <f>0.45*(9.62+1.025+1.37+1.6+2.51+1.785+1.53)+0.45*(0.38+0.885+0.625+0.73+0.61+0.625+0.53+0.45)+6.7*2+2.5</f>
        <v>26.823750000000004</v>
      </c>
      <c r="K63" s="312">
        <v>0</v>
      </c>
      <c r="L63" s="69">
        <f>K63*J63</f>
        <v>0</v>
      </c>
      <c r="M63" s="312">
        <v>0</v>
      </c>
      <c r="N63" s="148" t="s">
        <v>606</v>
      </c>
    </row>
    <row r="64" spans="1:14" s="79" customFormat="1" ht="18.5" x14ac:dyDescent="0.35">
      <c r="A64" s="473"/>
      <c r="B64" s="249"/>
      <c r="C64" s="259"/>
      <c r="D64" s="259"/>
      <c r="E64" s="251"/>
      <c r="F64" s="241"/>
      <c r="G64" s="161"/>
      <c r="H64" s="103" t="s">
        <v>496</v>
      </c>
      <c r="I64" s="68" t="s">
        <v>4</v>
      </c>
      <c r="J64" s="95">
        <f>((0.29*2+0.1)*(1.025+1.37+1.6+2.51+1.785+1.53))</f>
        <v>6.6775999999999982</v>
      </c>
      <c r="K64" s="312">
        <v>0</v>
      </c>
      <c r="L64" s="69">
        <f>K64*J64</f>
        <v>0</v>
      </c>
      <c r="M64" s="312">
        <v>0</v>
      </c>
      <c r="N64" s="148"/>
    </row>
    <row r="65" spans="1:14" ht="18.5" x14ac:dyDescent="0.35">
      <c r="A65" s="473"/>
      <c r="B65" s="249"/>
      <c r="C65" s="250"/>
      <c r="D65" s="250"/>
      <c r="E65" s="251"/>
      <c r="F65" s="217"/>
      <c r="G65" s="161"/>
      <c r="H65" s="103"/>
      <c r="I65" s="68"/>
      <c r="J65" s="95"/>
      <c r="K65" s="69"/>
      <c r="L65" s="69"/>
      <c r="M65" s="69"/>
      <c r="N65" s="148"/>
    </row>
    <row r="66" spans="1:14" x14ac:dyDescent="0.35">
      <c r="A66" s="473"/>
      <c r="B66" s="249"/>
      <c r="C66" s="251"/>
      <c r="D66" s="251"/>
      <c r="E66" s="251"/>
      <c r="F66" s="217"/>
      <c r="G66" s="161" t="s">
        <v>17</v>
      </c>
      <c r="H66" s="103" t="s">
        <v>616</v>
      </c>
      <c r="I66" s="68" t="s">
        <v>4</v>
      </c>
      <c r="J66" s="95">
        <f>(0.3+0.1)*(0.885+0.625+0.73+0.61+0.625+0.53)</f>
        <v>1.6020000000000001</v>
      </c>
      <c r="K66" s="312">
        <v>0</v>
      </c>
      <c r="L66" s="69">
        <f>K66*J66</f>
        <v>0</v>
      </c>
      <c r="M66" s="312">
        <v>0</v>
      </c>
      <c r="N66" s="148"/>
    </row>
    <row r="67" spans="1:14" x14ac:dyDescent="0.35">
      <c r="A67" s="473"/>
      <c r="B67" s="56"/>
      <c r="C67" s="8"/>
      <c r="D67" s="8"/>
      <c r="E67" s="8"/>
      <c r="F67" s="13"/>
      <c r="G67" s="161"/>
      <c r="H67" s="103" t="s">
        <v>617</v>
      </c>
      <c r="I67" s="68" t="s">
        <v>5</v>
      </c>
      <c r="J67" s="95">
        <f>9.62</f>
        <v>9.6199999999999992</v>
      </c>
      <c r="K67" s="312">
        <v>0</v>
      </c>
      <c r="L67" s="69">
        <f>K67*J67</f>
        <v>0</v>
      </c>
      <c r="M67" s="312">
        <v>0</v>
      </c>
      <c r="N67" s="148"/>
    </row>
    <row r="68" spans="1:14" x14ac:dyDescent="0.35">
      <c r="A68" s="473"/>
      <c r="B68" s="56"/>
      <c r="C68" s="8"/>
      <c r="D68" s="8"/>
      <c r="E68" s="8"/>
      <c r="F68" s="13"/>
      <c r="G68" s="161"/>
      <c r="H68" s="103" t="s">
        <v>100</v>
      </c>
      <c r="I68" s="68" t="s">
        <v>5</v>
      </c>
      <c r="J68" s="95">
        <f>1.025+1.37+1.6+2.51+1.785+1.53+2*0.25</f>
        <v>10.319999999999999</v>
      </c>
      <c r="K68" s="312">
        <v>0</v>
      </c>
      <c r="L68" s="69">
        <f>K68*J68</f>
        <v>0</v>
      </c>
      <c r="M68" s="312">
        <v>0</v>
      </c>
      <c r="N68" s="148"/>
    </row>
    <row r="69" spans="1:14" x14ac:dyDescent="0.35">
      <c r="A69" s="473"/>
      <c r="B69" s="56"/>
      <c r="C69" s="8"/>
      <c r="D69" s="8"/>
      <c r="E69" s="8"/>
      <c r="F69" s="13"/>
      <c r="G69" s="161"/>
      <c r="H69" s="103" t="s">
        <v>101</v>
      </c>
      <c r="I69" s="68" t="s">
        <v>5</v>
      </c>
      <c r="J69" s="95">
        <f>1.025+1.37+1.6+2.51+1.785+1.53+2*0.25</f>
        <v>10.319999999999999</v>
      </c>
      <c r="K69" s="312">
        <v>0</v>
      </c>
      <c r="L69" s="69">
        <f>K69*J69</f>
        <v>0</v>
      </c>
      <c r="M69" s="312">
        <v>0</v>
      </c>
      <c r="N69" s="148"/>
    </row>
    <row r="70" spans="1:14" s="79" customFormat="1" x14ac:dyDescent="0.35">
      <c r="A70" s="473"/>
      <c r="B70" s="56"/>
      <c r="C70" s="8"/>
      <c r="D70" s="8"/>
      <c r="E70" s="8"/>
      <c r="F70" s="13"/>
      <c r="G70" s="161"/>
      <c r="H70" s="103" t="s">
        <v>593</v>
      </c>
      <c r="I70" s="68" t="s">
        <v>5</v>
      </c>
      <c r="J70" s="95">
        <f>2.143</f>
        <v>2.1429999999999998</v>
      </c>
      <c r="K70" s="312">
        <v>0</v>
      </c>
      <c r="L70" s="69">
        <f>K70*J70</f>
        <v>0</v>
      </c>
      <c r="M70" s="312">
        <v>0</v>
      </c>
      <c r="N70" s="148"/>
    </row>
    <row r="71" spans="1:14" x14ac:dyDescent="0.35">
      <c r="A71" s="473"/>
      <c r="B71" s="56"/>
      <c r="C71" s="8"/>
      <c r="D71" s="8"/>
      <c r="E71" s="8"/>
      <c r="F71" s="13"/>
      <c r="G71" s="161"/>
      <c r="H71" s="103"/>
      <c r="I71" s="68"/>
      <c r="J71" s="95"/>
      <c r="K71" s="69"/>
      <c r="L71" s="69"/>
      <c r="M71" s="69"/>
      <c r="N71" s="148"/>
    </row>
    <row r="72" spans="1:14" x14ac:dyDescent="0.35">
      <c r="A72" s="473"/>
      <c r="B72" s="56"/>
      <c r="C72" s="8"/>
      <c r="D72" s="8"/>
      <c r="E72" s="8"/>
      <c r="F72" s="13"/>
      <c r="G72" s="161" t="s">
        <v>18</v>
      </c>
      <c r="H72" s="103" t="s">
        <v>149</v>
      </c>
      <c r="I72" s="68" t="s">
        <v>4</v>
      </c>
      <c r="J72" s="95">
        <f>0.45*(9.62+1.025+1.37+1.6+2.51+1.785+1.53)+0.45*(0.38+0.885+0.625+0.73+0.61+0.625+0.53+0.45)</f>
        <v>10.923750000000002</v>
      </c>
      <c r="K72" s="312">
        <v>0</v>
      </c>
      <c r="L72" s="69">
        <f>K72*J72</f>
        <v>0</v>
      </c>
      <c r="M72" s="312">
        <v>0</v>
      </c>
      <c r="N72" s="148" t="s">
        <v>519</v>
      </c>
    </row>
    <row r="73" spans="1:14" x14ac:dyDescent="0.35">
      <c r="A73" s="473"/>
      <c r="B73" s="56"/>
      <c r="C73" s="8"/>
      <c r="D73" s="8"/>
      <c r="E73" s="8"/>
      <c r="F73" s="13"/>
      <c r="G73" s="161"/>
      <c r="H73" s="103" t="s">
        <v>369</v>
      </c>
      <c r="I73" s="68" t="s">
        <v>4</v>
      </c>
      <c r="J73" s="95">
        <f>J64+0.45*(1.025+1.37+1.6+2.51+1.785+1.53)</f>
        <v>11.096599999999999</v>
      </c>
      <c r="K73" s="312">
        <v>0</v>
      </c>
      <c r="L73" s="69">
        <f>K73*J73</f>
        <v>0</v>
      </c>
      <c r="M73" s="312">
        <v>0</v>
      </c>
      <c r="N73" s="148" t="s">
        <v>519</v>
      </c>
    </row>
    <row r="74" spans="1:14" x14ac:dyDescent="0.35">
      <c r="A74" s="473"/>
      <c r="B74" s="56"/>
      <c r="C74" s="8"/>
      <c r="D74" s="8"/>
      <c r="E74" s="8"/>
      <c r="F74" s="13"/>
      <c r="G74" s="161"/>
      <c r="H74" s="103" t="s">
        <v>368</v>
      </c>
      <c r="I74" s="68" t="s">
        <v>4</v>
      </c>
      <c r="J74" s="95">
        <f>6.7+0.45*(0.38+0.45)</f>
        <v>7.0735000000000001</v>
      </c>
      <c r="K74" s="312">
        <v>0</v>
      </c>
      <c r="L74" s="69">
        <f>K74*J74</f>
        <v>0</v>
      </c>
      <c r="M74" s="312">
        <v>0</v>
      </c>
      <c r="N74" s="148" t="s">
        <v>441</v>
      </c>
    </row>
    <row r="75" spans="1:14" s="79" customFormat="1" x14ac:dyDescent="0.35">
      <c r="A75" s="473"/>
      <c r="B75" s="56"/>
      <c r="C75" s="8"/>
      <c r="D75" s="8"/>
      <c r="E75" s="8"/>
      <c r="F75" s="13"/>
      <c r="G75" s="161"/>
      <c r="H75" s="103"/>
      <c r="I75" s="68"/>
      <c r="J75" s="95"/>
      <c r="K75" s="69"/>
      <c r="L75" s="69"/>
      <c r="M75" s="69"/>
      <c r="N75" s="148" t="s">
        <v>519</v>
      </c>
    </row>
    <row r="76" spans="1:14" ht="29" x14ac:dyDescent="0.35">
      <c r="A76" s="473"/>
      <c r="B76" s="56"/>
      <c r="C76" s="8"/>
      <c r="D76" s="8"/>
      <c r="E76" s="8"/>
      <c r="F76" s="13"/>
      <c r="G76" s="161" t="s">
        <v>19</v>
      </c>
      <c r="H76" s="224" t="s">
        <v>774</v>
      </c>
      <c r="I76" s="68" t="s">
        <v>4</v>
      </c>
      <c r="J76" s="95">
        <f>0.26+(0.31+2.281*1)+(0.26+2.058*1)+(0.28+2.029*1)</f>
        <v>7.4779999999999998</v>
      </c>
      <c r="K76" s="312">
        <v>0</v>
      </c>
      <c r="L76" s="69">
        <f>K76*J76</f>
        <v>0</v>
      </c>
      <c r="M76" s="312">
        <v>0</v>
      </c>
      <c r="N76" s="223" t="s">
        <v>699</v>
      </c>
    </row>
    <row r="77" spans="1:14" ht="29" x14ac:dyDescent="0.35">
      <c r="A77" s="473"/>
      <c r="B77" s="56"/>
      <c r="C77" s="8"/>
      <c r="D77" s="8"/>
      <c r="E77" s="8"/>
      <c r="F77" s="13"/>
      <c r="G77" s="161"/>
      <c r="H77" s="88" t="s">
        <v>727</v>
      </c>
      <c r="I77" s="68" t="s">
        <v>4</v>
      </c>
      <c r="J77" s="95">
        <f>2.5+0.45*(1.025+1.37+1.6+2.51+1.785+1.53+0.25+0.25)</f>
        <v>7.1439999999999992</v>
      </c>
      <c r="K77" s="312">
        <v>0</v>
      </c>
      <c r="L77" s="69">
        <f>K77*J77</f>
        <v>0</v>
      </c>
      <c r="M77" s="312">
        <v>0</v>
      </c>
      <c r="N77" s="148"/>
    </row>
    <row r="78" spans="1:14" x14ac:dyDescent="0.35">
      <c r="A78" s="473"/>
      <c r="B78" s="56"/>
      <c r="C78" s="8"/>
      <c r="D78" s="8"/>
      <c r="E78" s="8"/>
      <c r="F78" s="13"/>
      <c r="G78" s="161"/>
      <c r="H78" s="103"/>
      <c r="I78" s="68"/>
      <c r="J78" s="95"/>
      <c r="K78" s="69"/>
      <c r="L78" s="69"/>
      <c r="M78" s="69"/>
      <c r="N78" s="148"/>
    </row>
    <row r="79" spans="1:14" x14ac:dyDescent="0.35">
      <c r="A79" s="473"/>
      <c r="B79" s="56"/>
      <c r="C79" s="8"/>
      <c r="D79" s="8"/>
      <c r="E79" s="8"/>
      <c r="F79" s="13"/>
      <c r="G79" s="13" t="s">
        <v>28</v>
      </c>
      <c r="H79" s="103" t="s">
        <v>29</v>
      </c>
      <c r="I79" s="68" t="s">
        <v>6</v>
      </c>
      <c r="J79" s="95">
        <v>14</v>
      </c>
      <c r="K79" s="312">
        <v>0</v>
      </c>
      <c r="L79" s="69">
        <f>K79*J79</f>
        <v>0</v>
      </c>
      <c r="M79" s="312">
        <v>0</v>
      </c>
      <c r="N79" s="148"/>
    </row>
    <row r="80" spans="1:14" x14ac:dyDescent="0.35">
      <c r="A80" s="473"/>
      <c r="B80" s="56"/>
      <c r="C80" s="8"/>
      <c r="D80" s="8"/>
      <c r="E80" s="8"/>
      <c r="F80" s="13"/>
      <c r="G80" s="13"/>
      <c r="H80" s="228" t="s">
        <v>153</v>
      </c>
      <c r="I80" s="211" t="s">
        <v>6</v>
      </c>
      <c r="J80" s="212">
        <v>7</v>
      </c>
      <c r="K80" s="312">
        <v>0</v>
      </c>
      <c r="L80" s="69">
        <f>K80*J80</f>
        <v>0</v>
      </c>
      <c r="M80" s="312">
        <v>0</v>
      </c>
      <c r="N80" s="148"/>
    </row>
    <row r="81" spans="1:14" s="135" customFormat="1" x14ac:dyDescent="0.35">
      <c r="A81" s="473"/>
      <c r="B81" s="56"/>
      <c r="C81" s="8"/>
      <c r="D81" s="8"/>
      <c r="E81" s="8"/>
      <c r="F81" s="13"/>
      <c r="G81" s="13"/>
      <c r="H81" s="213" t="s">
        <v>408</v>
      </c>
      <c r="I81" s="214" t="s">
        <v>6</v>
      </c>
      <c r="J81" s="215">
        <v>3</v>
      </c>
      <c r="K81" s="312">
        <v>0</v>
      </c>
      <c r="L81" s="69">
        <f>K81*J81</f>
        <v>0</v>
      </c>
      <c r="M81" s="312">
        <v>0</v>
      </c>
      <c r="N81" s="148"/>
    </row>
    <row r="82" spans="1:14" x14ac:dyDescent="0.35">
      <c r="A82" s="473"/>
      <c r="B82" s="56"/>
      <c r="C82" s="8"/>
      <c r="D82" s="8"/>
      <c r="E82" s="8"/>
      <c r="F82" s="13"/>
      <c r="G82" s="13"/>
      <c r="H82" s="228"/>
      <c r="I82" s="211"/>
      <c r="J82" s="212"/>
      <c r="K82" s="220"/>
      <c r="L82" s="69"/>
      <c r="M82" s="69"/>
      <c r="N82" s="148"/>
    </row>
    <row r="83" spans="1:14" ht="15.5" x14ac:dyDescent="0.35">
      <c r="A83" s="473"/>
      <c r="B83" s="76"/>
      <c r="C83" s="77"/>
      <c r="D83" s="77"/>
      <c r="E83" s="77"/>
      <c r="F83" s="30"/>
      <c r="G83" s="31"/>
      <c r="H83" s="32" t="s">
        <v>459</v>
      </c>
      <c r="I83" s="33"/>
      <c r="J83" s="98"/>
      <c r="K83" s="34"/>
      <c r="L83" s="137">
        <f>SUM(L63:L81)</f>
        <v>0</v>
      </c>
      <c r="M83" s="137">
        <f>SUM(M63:M81)</f>
        <v>0</v>
      </c>
      <c r="N83" s="148"/>
    </row>
    <row r="84" spans="1:14" x14ac:dyDescent="0.35">
      <c r="A84" s="473"/>
      <c r="B84" s="56"/>
      <c r="C84" s="8"/>
      <c r="D84" s="8"/>
      <c r="E84" s="8"/>
      <c r="F84" s="28"/>
      <c r="G84" s="28"/>
      <c r="H84" s="29"/>
      <c r="I84" s="29"/>
      <c r="J84" s="97"/>
      <c r="K84" s="29"/>
      <c r="L84" s="29"/>
      <c r="M84" s="29"/>
      <c r="N84" s="148"/>
    </row>
    <row r="85" spans="1:14" ht="18.5" x14ac:dyDescent="0.35">
      <c r="A85" s="473"/>
      <c r="B85" s="57">
        <v>206</v>
      </c>
      <c r="C85" s="35" t="s">
        <v>14</v>
      </c>
      <c r="D85" s="35" t="s">
        <v>91</v>
      </c>
      <c r="E85" s="40"/>
      <c r="F85" s="160" t="s">
        <v>94</v>
      </c>
      <c r="G85" s="161" t="s">
        <v>16</v>
      </c>
      <c r="H85" s="103" t="s">
        <v>594</v>
      </c>
      <c r="I85" s="68" t="s">
        <v>4</v>
      </c>
      <c r="J85" s="95">
        <f>4*0.295*0.05</f>
        <v>5.8999999999999997E-2</v>
      </c>
      <c r="K85" s="312">
        <v>0</v>
      </c>
      <c r="L85" s="69">
        <f>K85*J85</f>
        <v>0</v>
      </c>
      <c r="M85" s="312">
        <v>0</v>
      </c>
      <c r="N85" s="148"/>
    </row>
    <row r="86" spans="1:14" ht="18.5" x14ac:dyDescent="0.35">
      <c r="A86" s="473"/>
      <c r="B86" s="249"/>
      <c r="C86" s="259"/>
      <c r="D86" s="259"/>
      <c r="E86" s="251"/>
      <c r="F86" s="241"/>
      <c r="G86" s="161"/>
      <c r="H86" s="103" t="s">
        <v>497</v>
      </c>
      <c r="I86" s="68" t="s">
        <v>4</v>
      </c>
      <c r="J86" s="95">
        <f>(1.95+2.44+3.2)*2*0.06</f>
        <v>0.91079999999999994</v>
      </c>
      <c r="K86" s="312">
        <v>0</v>
      </c>
      <c r="L86" s="69">
        <f>K86*J86</f>
        <v>0</v>
      </c>
      <c r="M86" s="312">
        <v>0</v>
      </c>
      <c r="N86" s="148" t="s">
        <v>606</v>
      </c>
    </row>
    <row r="87" spans="1:14" s="79" customFormat="1" ht="18.5" x14ac:dyDescent="0.35">
      <c r="A87" s="473"/>
      <c r="B87" s="249"/>
      <c r="C87" s="259"/>
      <c r="D87" s="259"/>
      <c r="E87" s="251"/>
      <c r="F87" s="241"/>
      <c r="G87" s="161"/>
      <c r="H87" s="103" t="s">
        <v>502</v>
      </c>
      <c r="I87" s="68" t="s">
        <v>4</v>
      </c>
      <c r="J87" s="95">
        <f>(1.95+2.5)*3.2</f>
        <v>14.240000000000002</v>
      </c>
      <c r="K87" s="312">
        <v>0</v>
      </c>
      <c r="L87" s="69">
        <f>K87*J87</f>
        <v>0</v>
      </c>
      <c r="M87" s="312">
        <v>0</v>
      </c>
      <c r="N87" s="148" t="s">
        <v>606</v>
      </c>
    </row>
    <row r="88" spans="1:14" ht="18.5" x14ac:dyDescent="0.35">
      <c r="A88" s="473"/>
      <c r="B88" s="249"/>
      <c r="C88" s="250"/>
      <c r="D88" s="250"/>
      <c r="E88" s="251"/>
      <c r="F88" s="217"/>
      <c r="G88" s="161"/>
      <c r="H88" s="103"/>
      <c r="I88" s="68"/>
      <c r="J88" s="95"/>
      <c r="K88" s="69"/>
      <c r="L88" s="69"/>
      <c r="M88" s="69"/>
      <c r="N88" s="148"/>
    </row>
    <row r="89" spans="1:14" x14ac:dyDescent="0.35">
      <c r="A89" s="473"/>
      <c r="B89" s="56"/>
      <c r="C89" s="8"/>
      <c r="D89" s="8"/>
      <c r="E89" s="8"/>
      <c r="F89" s="13"/>
      <c r="G89" s="161" t="s">
        <v>17</v>
      </c>
      <c r="H89" s="103" t="s">
        <v>457</v>
      </c>
      <c r="I89" s="68" t="s">
        <v>5</v>
      </c>
      <c r="J89" s="95">
        <f>((2.5*2+3*1.1)*3)+((1.95*2+3*1.1)*3)+10*0.04</f>
        <v>46.9</v>
      </c>
      <c r="K89" s="312">
        <v>0</v>
      </c>
      <c r="L89" s="69">
        <f>K89*J89</f>
        <v>0</v>
      </c>
      <c r="M89" s="312">
        <v>0</v>
      </c>
      <c r="N89" s="148" t="s">
        <v>371</v>
      </c>
    </row>
    <row r="90" spans="1:14" x14ac:dyDescent="0.35">
      <c r="A90" s="473"/>
      <c r="B90" s="56"/>
      <c r="C90" s="8"/>
      <c r="D90" s="8"/>
      <c r="E90" s="8"/>
      <c r="F90" s="13"/>
      <c r="G90" s="161"/>
      <c r="H90" s="103" t="s">
        <v>36</v>
      </c>
      <c r="I90" s="68" t="s">
        <v>5</v>
      </c>
      <c r="J90" s="95">
        <v>2</v>
      </c>
      <c r="K90" s="312">
        <v>0</v>
      </c>
      <c r="L90" s="69">
        <f>K90*J90</f>
        <v>0</v>
      </c>
      <c r="M90" s="312">
        <v>0</v>
      </c>
      <c r="N90" s="148"/>
    </row>
    <row r="91" spans="1:14" x14ac:dyDescent="0.35">
      <c r="A91" s="473"/>
      <c r="B91" s="56"/>
      <c r="C91" s="8"/>
      <c r="D91" s="8"/>
      <c r="E91" s="8"/>
      <c r="F91" s="13"/>
      <c r="G91" s="161"/>
      <c r="H91" s="103" t="s">
        <v>618</v>
      </c>
      <c r="I91" s="68" t="s">
        <v>4</v>
      </c>
      <c r="J91" s="95">
        <f>J85</f>
        <v>5.8999999999999997E-2</v>
      </c>
      <c r="K91" s="312">
        <v>0</v>
      </c>
      <c r="L91" s="69">
        <f>K91*J91</f>
        <v>0</v>
      </c>
      <c r="M91" s="312">
        <v>0</v>
      </c>
      <c r="N91" s="148"/>
    </row>
    <row r="92" spans="1:14" x14ac:dyDescent="0.35">
      <c r="A92" s="473"/>
      <c r="B92" s="56"/>
      <c r="C92" s="8"/>
      <c r="D92" s="8"/>
      <c r="E92" s="8"/>
      <c r="F92" s="13"/>
      <c r="G92" s="161"/>
      <c r="H92" s="103"/>
      <c r="I92" s="68"/>
      <c r="J92" s="95"/>
      <c r="K92" s="69"/>
      <c r="L92" s="69"/>
      <c r="M92" s="69"/>
      <c r="N92" s="148"/>
    </row>
    <row r="93" spans="1:14" x14ac:dyDescent="0.35">
      <c r="A93" s="473"/>
      <c r="B93" s="56"/>
      <c r="C93" s="8"/>
      <c r="D93" s="8"/>
      <c r="E93" s="8"/>
      <c r="F93" s="13"/>
      <c r="G93" s="161" t="s">
        <v>18</v>
      </c>
      <c r="H93" s="103" t="s">
        <v>35</v>
      </c>
      <c r="I93" s="68" t="s">
        <v>4</v>
      </c>
      <c r="J93" s="95">
        <f>J87+J86</f>
        <v>15.150800000000002</v>
      </c>
      <c r="K93" s="312">
        <v>0</v>
      </c>
      <c r="L93" s="69">
        <f>K93*J93</f>
        <v>0</v>
      </c>
      <c r="M93" s="312">
        <v>0</v>
      </c>
      <c r="N93" s="148" t="s">
        <v>519</v>
      </c>
    </row>
    <row r="94" spans="1:14" x14ac:dyDescent="0.35">
      <c r="A94" s="473"/>
      <c r="B94" s="56"/>
      <c r="C94" s="8"/>
      <c r="D94" s="8"/>
      <c r="E94" s="8"/>
      <c r="F94" s="13"/>
      <c r="G94" s="161"/>
      <c r="H94" s="103"/>
      <c r="I94" s="68"/>
      <c r="J94" s="95"/>
      <c r="K94" s="69"/>
      <c r="L94" s="69"/>
      <c r="M94" s="69"/>
      <c r="N94" s="148"/>
    </row>
    <row r="95" spans="1:14" x14ac:dyDescent="0.35">
      <c r="A95" s="473"/>
      <c r="B95" s="56"/>
      <c r="C95" s="8"/>
      <c r="D95" s="8"/>
      <c r="E95" s="8"/>
      <c r="F95" s="13"/>
      <c r="G95" s="13" t="s">
        <v>28</v>
      </c>
      <c r="H95" s="103" t="s">
        <v>536</v>
      </c>
      <c r="I95" s="68" t="s">
        <v>6</v>
      </c>
      <c r="J95" s="95">
        <v>10</v>
      </c>
      <c r="K95" s="312">
        <v>0</v>
      </c>
      <c r="L95" s="69">
        <f>K95*J95</f>
        <v>0</v>
      </c>
      <c r="M95" s="312">
        <v>0</v>
      </c>
      <c r="N95" s="148"/>
    </row>
    <row r="96" spans="1:14" x14ac:dyDescent="0.35">
      <c r="A96" s="473"/>
      <c r="B96" s="56"/>
      <c r="C96" s="8"/>
      <c r="D96" s="8"/>
      <c r="E96" s="8"/>
      <c r="F96" s="13"/>
      <c r="G96" s="13"/>
      <c r="H96" s="103"/>
      <c r="I96" s="68"/>
      <c r="J96" s="95"/>
      <c r="K96" s="69"/>
      <c r="L96" s="69"/>
      <c r="M96" s="69"/>
      <c r="N96" s="148"/>
    </row>
    <row r="97" spans="1:14" ht="15.5" x14ac:dyDescent="0.35">
      <c r="A97" s="473"/>
      <c r="B97" s="76"/>
      <c r="C97" s="77"/>
      <c r="D97" s="77"/>
      <c r="E97" s="77"/>
      <c r="F97" s="30"/>
      <c r="G97" s="31"/>
      <c r="H97" s="32" t="s">
        <v>459</v>
      </c>
      <c r="I97" s="33"/>
      <c r="J97" s="98"/>
      <c r="K97" s="34"/>
      <c r="L97" s="137">
        <f>SUM(L85:L95)</f>
        <v>0</v>
      </c>
      <c r="M97" s="137">
        <f>SUM(M85:M95)</f>
        <v>0</v>
      </c>
      <c r="N97" s="148"/>
    </row>
    <row r="98" spans="1:14" x14ac:dyDescent="0.35">
      <c r="A98" s="473"/>
      <c r="B98" s="56"/>
      <c r="C98" s="8"/>
      <c r="D98" s="8"/>
      <c r="E98" s="8"/>
      <c r="F98" s="28"/>
      <c r="G98" s="28"/>
      <c r="H98" s="29"/>
      <c r="I98" s="29"/>
      <c r="J98" s="97"/>
      <c r="K98" s="29"/>
      <c r="L98" s="29"/>
      <c r="M98" s="29"/>
      <c r="N98" s="148"/>
    </row>
    <row r="99" spans="1:14" ht="18.5" x14ac:dyDescent="0.35">
      <c r="A99" s="473"/>
      <c r="B99" s="57">
        <v>207</v>
      </c>
      <c r="C99" s="35" t="s">
        <v>14</v>
      </c>
      <c r="D99" s="35" t="s">
        <v>92</v>
      </c>
      <c r="E99" s="40"/>
      <c r="F99" s="160" t="s">
        <v>94</v>
      </c>
      <c r="G99" s="161" t="s">
        <v>16</v>
      </c>
      <c r="H99" s="103" t="s">
        <v>594</v>
      </c>
      <c r="I99" s="68" t="s">
        <v>4</v>
      </c>
      <c r="J99" s="95">
        <f>4*0.295*0.05</f>
        <v>5.8999999999999997E-2</v>
      </c>
      <c r="K99" s="312">
        <v>0</v>
      </c>
      <c r="L99" s="69">
        <f>K99*J99</f>
        <v>0</v>
      </c>
      <c r="M99" s="312">
        <v>0</v>
      </c>
      <c r="N99" s="148"/>
    </row>
    <row r="100" spans="1:14" ht="18.5" x14ac:dyDescent="0.35">
      <c r="A100" s="473"/>
      <c r="B100" s="249"/>
      <c r="C100" s="259"/>
      <c r="D100" s="259"/>
      <c r="E100" s="251"/>
      <c r="F100" s="241"/>
      <c r="G100" s="216"/>
      <c r="H100" s="228" t="s">
        <v>497</v>
      </c>
      <c r="I100" s="68" t="s">
        <v>4</v>
      </c>
      <c r="J100" s="95">
        <f>(1.95+2.44+4.56)*2*0.06</f>
        <v>1.0739999999999998</v>
      </c>
      <c r="K100" s="312">
        <v>0</v>
      </c>
      <c r="L100" s="69">
        <f>K100*J100</f>
        <v>0</v>
      </c>
      <c r="M100" s="312">
        <v>0</v>
      </c>
      <c r="N100" s="148" t="s">
        <v>606</v>
      </c>
    </row>
    <row r="101" spans="1:14" s="79" customFormat="1" ht="18.5" x14ac:dyDescent="0.35">
      <c r="A101" s="473"/>
      <c r="B101" s="249"/>
      <c r="C101" s="259"/>
      <c r="D101" s="259"/>
      <c r="E101" s="251"/>
      <c r="F101" s="241"/>
      <c r="G101" s="216"/>
      <c r="H101" s="228" t="s">
        <v>502</v>
      </c>
      <c r="I101" s="68" t="s">
        <v>4</v>
      </c>
      <c r="J101" s="95">
        <f>(1.95+2.5)*4.56</f>
        <v>20.291999999999998</v>
      </c>
      <c r="K101" s="312">
        <v>0</v>
      </c>
      <c r="L101" s="69">
        <f>K101*J101</f>
        <v>0</v>
      </c>
      <c r="M101" s="312">
        <v>0</v>
      </c>
      <c r="N101" s="148" t="s">
        <v>606</v>
      </c>
    </row>
    <row r="102" spans="1:14" ht="18.5" x14ac:dyDescent="0.35">
      <c r="A102" s="473"/>
      <c r="B102" s="249"/>
      <c r="C102" s="250"/>
      <c r="D102" s="250"/>
      <c r="E102" s="251"/>
      <c r="F102" s="217"/>
      <c r="G102" s="216"/>
      <c r="H102" s="228"/>
      <c r="I102" s="68"/>
      <c r="J102" s="95"/>
      <c r="K102" s="69"/>
      <c r="L102" s="69"/>
      <c r="M102" s="69"/>
      <c r="N102" s="148"/>
    </row>
    <row r="103" spans="1:14" x14ac:dyDescent="0.35">
      <c r="A103" s="473"/>
      <c r="B103" s="56"/>
      <c r="C103" s="8"/>
      <c r="D103" s="8"/>
      <c r="E103" s="8"/>
      <c r="F103" s="13"/>
      <c r="G103" s="161" t="s">
        <v>17</v>
      </c>
      <c r="H103" s="103" t="s">
        <v>457</v>
      </c>
      <c r="I103" s="68" t="s">
        <v>5</v>
      </c>
      <c r="J103" s="95">
        <f>((2.5*2+3*1.145)*4)+((1.95*2+3*1.145)*4)+13*0.04</f>
        <v>63.6</v>
      </c>
      <c r="K103" s="312">
        <v>0</v>
      </c>
      <c r="L103" s="69">
        <f>K103*J103</f>
        <v>0</v>
      </c>
      <c r="M103" s="312">
        <v>0</v>
      </c>
      <c r="N103" s="148" t="s">
        <v>371</v>
      </c>
    </row>
    <row r="104" spans="1:14" x14ac:dyDescent="0.35">
      <c r="A104" s="473"/>
      <c r="B104" s="56"/>
      <c r="C104" s="8"/>
      <c r="D104" s="8"/>
      <c r="E104" s="8"/>
      <c r="F104" s="13"/>
      <c r="G104" s="161"/>
      <c r="H104" s="103" t="s">
        <v>36</v>
      </c>
      <c r="I104" s="68" t="s">
        <v>5</v>
      </c>
      <c r="J104" s="95">
        <v>3</v>
      </c>
      <c r="K104" s="312">
        <v>0</v>
      </c>
      <c r="L104" s="69">
        <f>K104*J104</f>
        <v>0</v>
      </c>
      <c r="M104" s="312">
        <v>0</v>
      </c>
      <c r="N104" s="148"/>
    </row>
    <row r="105" spans="1:14" x14ac:dyDescent="0.35">
      <c r="A105" s="473"/>
      <c r="B105" s="56"/>
      <c r="C105" s="8"/>
      <c r="D105" s="8"/>
      <c r="E105" s="8"/>
      <c r="F105" s="13"/>
      <c r="G105" s="161"/>
      <c r="H105" s="103" t="s">
        <v>618</v>
      </c>
      <c r="I105" s="68" t="s">
        <v>5</v>
      </c>
      <c r="J105" s="95">
        <f>J99</f>
        <v>5.8999999999999997E-2</v>
      </c>
      <c r="K105" s="312">
        <v>0</v>
      </c>
      <c r="L105" s="69">
        <f>K105*J105</f>
        <v>0</v>
      </c>
      <c r="M105" s="312">
        <v>0</v>
      </c>
      <c r="N105" s="148"/>
    </row>
    <row r="106" spans="1:14" x14ac:dyDescent="0.35">
      <c r="A106" s="473"/>
      <c r="B106" s="56"/>
      <c r="C106" s="8"/>
      <c r="D106" s="8"/>
      <c r="E106" s="8"/>
      <c r="F106" s="13"/>
      <c r="G106" s="161"/>
      <c r="H106" s="103"/>
      <c r="I106" s="68"/>
      <c r="J106" s="95"/>
      <c r="K106" s="69"/>
      <c r="L106" s="69"/>
      <c r="M106" s="69"/>
      <c r="N106" s="148"/>
    </row>
    <row r="107" spans="1:14" x14ac:dyDescent="0.35">
      <c r="A107" s="473"/>
      <c r="B107" s="56"/>
      <c r="C107" s="8"/>
      <c r="D107" s="8"/>
      <c r="E107" s="8"/>
      <c r="F107" s="13"/>
      <c r="G107" s="161" t="s">
        <v>18</v>
      </c>
      <c r="H107" s="103" t="s">
        <v>35</v>
      </c>
      <c r="I107" s="68" t="s">
        <v>4</v>
      </c>
      <c r="J107" s="95">
        <f>J101+J100</f>
        <v>21.366</v>
      </c>
      <c r="K107" s="312">
        <v>0</v>
      </c>
      <c r="L107" s="69">
        <f>K107*J107</f>
        <v>0</v>
      </c>
      <c r="M107" s="312">
        <v>0</v>
      </c>
      <c r="N107" s="148" t="s">
        <v>519</v>
      </c>
    </row>
    <row r="108" spans="1:14" x14ac:dyDescent="0.35">
      <c r="A108" s="473"/>
      <c r="B108" s="56"/>
      <c r="C108" s="8"/>
      <c r="D108" s="8"/>
      <c r="E108" s="8"/>
      <c r="F108" s="13"/>
      <c r="G108" s="161"/>
      <c r="H108" s="103"/>
      <c r="I108" s="68"/>
      <c r="J108" s="95"/>
      <c r="K108" s="69"/>
      <c r="L108" s="69"/>
      <c r="M108" s="69"/>
      <c r="N108" s="148"/>
    </row>
    <row r="109" spans="1:14" x14ac:dyDescent="0.35">
      <c r="A109" s="473"/>
      <c r="B109" s="56"/>
      <c r="C109" s="8"/>
      <c r="D109" s="8"/>
      <c r="E109" s="8"/>
      <c r="F109" s="13"/>
      <c r="G109" s="13" t="s">
        <v>28</v>
      </c>
      <c r="H109" s="103" t="s">
        <v>536</v>
      </c>
      <c r="I109" s="68" t="s">
        <v>6</v>
      </c>
      <c r="J109" s="95">
        <v>13</v>
      </c>
      <c r="K109" s="312">
        <v>0</v>
      </c>
      <c r="L109" s="69">
        <f>K109*J109</f>
        <v>0</v>
      </c>
      <c r="M109" s="312">
        <v>0</v>
      </c>
      <c r="N109" s="148"/>
    </row>
    <row r="110" spans="1:14" x14ac:dyDescent="0.35">
      <c r="A110" s="473"/>
      <c r="B110" s="56"/>
      <c r="C110" s="8"/>
      <c r="D110" s="8"/>
      <c r="E110" s="8"/>
      <c r="F110" s="13"/>
      <c r="G110" s="13"/>
      <c r="H110" s="103"/>
      <c r="I110" s="68"/>
      <c r="J110" s="95"/>
      <c r="K110" s="69"/>
      <c r="L110" s="69"/>
      <c r="M110" s="69"/>
      <c r="N110" s="148"/>
    </row>
    <row r="111" spans="1:14" ht="15.5" x14ac:dyDescent="0.35">
      <c r="A111" s="473"/>
      <c r="B111" s="76"/>
      <c r="C111" s="77"/>
      <c r="D111" s="77"/>
      <c r="E111" s="77"/>
      <c r="F111" s="30"/>
      <c r="G111" s="31"/>
      <c r="H111" s="32" t="s">
        <v>459</v>
      </c>
      <c r="I111" s="33"/>
      <c r="J111" s="98"/>
      <c r="K111" s="34"/>
      <c r="L111" s="137">
        <f>SUM(L99:L109)</f>
        <v>0</v>
      </c>
      <c r="M111" s="137">
        <f>SUM(M99:M109)</f>
        <v>0</v>
      </c>
      <c r="N111" s="148"/>
    </row>
    <row r="112" spans="1:14" x14ac:dyDescent="0.35">
      <c r="A112" s="473"/>
      <c r="B112" s="56"/>
      <c r="C112" s="8"/>
      <c r="D112" s="8"/>
      <c r="E112" s="8"/>
      <c r="F112" s="8"/>
      <c r="G112" s="8"/>
      <c r="H112" s="141"/>
      <c r="I112" s="141"/>
      <c r="J112" s="162"/>
      <c r="K112" s="141"/>
      <c r="L112" s="141"/>
      <c r="M112" s="141"/>
      <c r="N112" s="148"/>
    </row>
    <row r="113" spans="1:14" ht="18.5" x14ac:dyDescent="0.35">
      <c r="A113" s="473"/>
      <c r="B113" s="57">
        <v>208</v>
      </c>
      <c r="C113" s="35" t="s">
        <v>14</v>
      </c>
      <c r="D113" s="35" t="s">
        <v>93</v>
      </c>
      <c r="E113" s="40"/>
      <c r="F113" s="160" t="s">
        <v>32</v>
      </c>
      <c r="G113" s="161" t="s">
        <v>17</v>
      </c>
      <c r="H113" s="103" t="s">
        <v>475</v>
      </c>
      <c r="I113" s="68" t="s">
        <v>5</v>
      </c>
      <c r="J113" s="95">
        <f>1.78*2+0.83*2</f>
        <v>5.22</v>
      </c>
      <c r="K113" s="312">
        <v>0</v>
      </c>
      <c r="L113" s="69">
        <f>K113*J113</f>
        <v>0</v>
      </c>
      <c r="M113" s="312">
        <v>0</v>
      </c>
      <c r="N113" s="148"/>
    </row>
    <row r="114" spans="1:14" ht="18.5" x14ac:dyDescent="0.35">
      <c r="A114" s="473"/>
      <c r="B114" s="56"/>
      <c r="C114" s="20"/>
      <c r="D114" s="20"/>
      <c r="E114" s="8"/>
      <c r="F114" s="13"/>
      <c r="G114" s="161"/>
      <c r="H114" s="103" t="s">
        <v>476</v>
      </c>
      <c r="I114" s="68" t="s">
        <v>5</v>
      </c>
      <c r="J114" s="95">
        <f>3*0.75</f>
        <v>2.25</v>
      </c>
      <c r="K114" s="312">
        <v>0</v>
      </c>
      <c r="L114" s="69">
        <f>K114*J114</f>
        <v>0</v>
      </c>
      <c r="M114" s="312">
        <v>0</v>
      </c>
      <c r="N114" s="148"/>
    </row>
    <row r="115" spans="1:14" x14ac:dyDescent="0.35">
      <c r="A115" s="473"/>
      <c r="B115" s="56"/>
      <c r="C115" s="8"/>
      <c r="D115" s="8"/>
      <c r="E115" s="8"/>
      <c r="F115" s="13"/>
      <c r="G115" s="161"/>
      <c r="H115" s="103" t="s">
        <v>705</v>
      </c>
      <c r="I115" s="68" t="s">
        <v>5</v>
      </c>
      <c r="J115" s="95">
        <f>3*0.75*0.03</f>
        <v>6.7500000000000004E-2</v>
      </c>
      <c r="K115" s="312">
        <v>0</v>
      </c>
      <c r="L115" s="69">
        <f>K115*J115</f>
        <v>0</v>
      </c>
      <c r="M115" s="312">
        <v>0</v>
      </c>
      <c r="N115" s="148"/>
    </row>
    <row r="116" spans="1:14" x14ac:dyDescent="0.35">
      <c r="A116" s="473"/>
      <c r="B116" s="56"/>
      <c r="C116" s="8"/>
      <c r="D116" s="8"/>
      <c r="E116" s="8"/>
      <c r="F116" s="13"/>
      <c r="G116" s="161"/>
      <c r="H116" s="103"/>
      <c r="I116" s="68"/>
      <c r="J116" s="95"/>
      <c r="K116" s="69"/>
      <c r="L116" s="69"/>
      <c r="M116" s="69"/>
      <c r="N116" s="148"/>
    </row>
    <row r="117" spans="1:14" x14ac:dyDescent="0.35">
      <c r="A117" s="473"/>
      <c r="B117" s="56"/>
      <c r="C117" s="8"/>
      <c r="D117" s="8"/>
      <c r="E117" s="8"/>
      <c r="F117" s="13"/>
      <c r="G117" s="161" t="s">
        <v>18</v>
      </c>
      <c r="H117" s="103" t="s">
        <v>498</v>
      </c>
      <c r="I117" s="68" t="s">
        <v>4</v>
      </c>
      <c r="J117" s="95">
        <f>J113*2*0.04*3+0.5</f>
        <v>1.7527999999999999</v>
      </c>
      <c r="K117" s="312">
        <v>0</v>
      </c>
      <c r="L117" s="69">
        <f>K117*J117</f>
        <v>0</v>
      </c>
      <c r="M117" s="312">
        <v>0</v>
      </c>
      <c r="N117" s="148" t="s">
        <v>519</v>
      </c>
    </row>
    <row r="118" spans="1:14" x14ac:dyDescent="0.35">
      <c r="A118" s="473"/>
      <c r="B118" s="56"/>
      <c r="C118" s="8"/>
      <c r="D118" s="8"/>
      <c r="E118" s="8"/>
      <c r="F118" s="13"/>
      <c r="G118" s="161"/>
      <c r="H118" s="103"/>
      <c r="I118" s="68"/>
      <c r="J118" s="95"/>
      <c r="K118" s="69"/>
      <c r="L118" s="69"/>
      <c r="M118" s="69"/>
      <c r="N118" s="148"/>
    </row>
    <row r="119" spans="1:14" x14ac:dyDescent="0.35">
      <c r="A119" s="473"/>
      <c r="B119" s="56"/>
      <c r="C119" s="8"/>
      <c r="D119" s="8"/>
      <c r="E119" s="8"/>
      <c r="F119" s="13"/>
      <c r="G119" s="161" t="s">
        <v>19</v>
      </c>
      <c r="H119" s="103" t="s">
        <v>770</v>
      </c>
      <c r="I119" s="68" t="s">
        <v>4</v>
      </c>
      <c r="J119" s="95">
        <f>0.79*0.79</f>
        <v>0.6241000000000001</v>
      </c>
      <c r="K119" s="312">
        <v>0</v>
      </c>
      <c r="L119" s="69">
        <f>K119*J119</f>
        <v>0</v>
      </c>
      <c r="M119" s="312">
        <v>0</v>
      </c>
      <c r="N119" s="148"/>
    </row>
    <row r="120" spans="1:14" x14ac:dyDescent="0.35">
      <c r="A120" s="473"/>
      <c r="B120" s="56"/>
      <c r="C120" s="8"/>
      <c r="D120" s="8"/>
      <c r="E120" s="8"/>
      <c r="F120" s="13"/>
      <c r="G120" s="13"/>
      <c r="H120" s="103"/>
      <c r="I120" s="68"/>
      <c r="J120" s="95"/>
      <c r="K120" s="69"/>
      <c r="L120" s="69"/>
      <c r="M120" s="69"/>
      <c r="N120" s="148"/>
    </row>
    <row r="121" spans="1:14" ht="15.5" x14ac:dyDescent="0.35">
      <c r="A121" s="473"/>
      <c r="B121" s="76"/>
      <c r="C121" s="77"/>
      <c r="D121" s="77"/>
      <c r="E121" s="77"/>
      <c r="F121" s="30"/>
      <c r="G121" s="31"/>
      <c r="H121" s="32" t="s">
        <v>459</v>
      </c>
      <c r="I121" s="33"/>
      <c r="J121" s="98"/>
      <c r="K121" s="34"/>
      <c r="L121" s="137">
        <f>SUM(L113:L119)</f>
        <v>0</v>
      </c>
      <c r="M121" s="137">
        <f>SUM(M113:M119)</f>
        <v>0</v>
      </c>
      <c r="N121" s="148"/>
    </row>
    <row r="122" spans="1:14" ht="15" thickBot="1" x14ac:dyDescent="0.4">
      <c r="A122" s="473"/>
      <c r="B122" s="56"/>
      <c r="C122" s="8"/>
      <c r="D122" s="8"/>
      <c r="E122" s="8"/>
      <c r="F122" s="8"/>
      <c r="G122" s="8"/>
      <c r="H122" s="141"/>
      <c r="I122" s="141"/>
      <c r="J122" s="162"/>
      <c r="K122" s="141"/>
      <c r="L122" s="141"/>
      <c r="M122" s="141"/>
      <c r="N122" s="148"/>
    </row>
    <row r="123" spans="1:14" ht="19" thickBot="1" x14ac:dyDescent="0.4">
      <c r="A123" s="473"/>
      <c r="B123" s="453" t="s">
        <v>37</v>
      </c>
      <c r="C123" s="454"/>
      <c r="D123" s="454"/>
      <c r="E123" s="454"/>
      <c r="F123" s="454"/>
      <c r="G123" s="140"/>
      <c r="H123" s="140" t="s">
        <v>459</v>
      </c>
      <c r="I123" s="50"/>
      <c r="J123" s="94"/>
      <c r="K123" s="51"/>
      <c r="L123" s="52">
        <f>L121+L111+L97+L83+L61+L39</f>
        <v>0</v>
      </c>
      <c r="M123" s="53">
        <f>M121+M111+M97+M83+M61+M39</f>
        <v>0</v>
      </c>
      <c r="N123" s="148"/>
    </row>
    <row r="124" spans="1:14" ht="19" thickBot="1" x14ac:dyDescent="0.4">
      <c r="A124" s="474"/>
      <c r="B124" s="58"/>
      <c r="C124" s="21"/>
      <c r="D124" s="21"/>
      <c r="E124" s="14"/>
      <c r="F124" s="15"/>
      <c r="G124" s="15"/>
      <c r="H124" s="16"/>
      <c r="I124" s="17"/>
      <c r="J124" s="96"/>
      <c r="K124" s="277"/>
      <c r="L124" s="278"/>
      <c r="M124" s="276"/>
      <c r="N124" s="148"/>
    </row>
    <row r="125" spans="1:14" ht="18.5" x14ac:dyDescent="0.35">
      <c r="A125" s="469" t="s">
        <v>39</v>
      </c>
      <c r="B125" s="56"/>
      <c r="C125" s="20"/>
      <c r="D125" s="20"/>
      <c r="E125" s="8"/>
      <c r="F125" s="13"/>
      <c r="G125" s="13"/>
      <c r="H125" s="141"/>
      <c r="I125" s="68"/>
      <c r="J125" s="95"/>
      <c r="K125" s="69"/>
      <c r="L125" s="69"/>
      <c r="M125" s="69"/>
      <c r="N125" s="146"/>
    </row>
    <row r="126" spans="1:14" ht="18.75" customHeight="1" x14ac:dyDescent="0.35">
      <c r="A126" s="470"/>
      <c r="B126" s="57">
        <v>209</v>
      </c>
      <c r="C126" s="35" t="s">
        <v>38</v>
      </c>
      <c r="D126" s="35" t="s">
        <v>88</v>
      </c>
      <c r="E126" s="40"/>
      <c r="F126" s="160" t="s">
        <v>104</v>
      </c>
      <c r="G126" s="161"/>
      <c r="H126" s="103" t="s">
        <v>528</v>
      </c>
      <c r="I126" s="68" t="s">
        <v>4</v>
      </c>
      <c r="J126" s="95">
        <f>2*0.75*0.75</f>
        <v>1.125</v>
      </c>
      <c r="K126" s="312">
        <v>0</v>
      </c>
      <c r="L126" s="69">
        <f>K126*J126</f>
        <v>0</v>
      </c>
      <c r="M126" s="312">
        <v>0</v>
      </c>
      <c r="N126" s="148"/>
    </row>
    <row r="127" spans="1:14" x14ac:dyDescent="0.35">
      <c r="A127" s="470"/>
      <c r="B127" s="56"/>
      <c r="C127" s="8"/>
      <c r="D127" s="8"/>
      <c r="E127" s="8"/>
      <c r="F127" s="13"/>
      <c r="G127" s="13"/>
      <c r="H127" s="103"/>
      <c r="I127" s="68"/>
      <c r="J127" s="95"/>
      <c r="K127" s="69"/>
      <c r="L127" s="69"/>
      <c r="M127" s="69"/>
      <c r="N127" s="148"/>
    </row>
    <row r="128" spans="1:14" ht="15.5" x14ac:dyDescent="0.35">
      <c r="A128" s="470"/>
      <c r="B128" s="76"/>
      <c r="C128" s="77"/>
      <c r="D128" s="77"/>
      <c r="E128" s="77"/>
      <c r="F128" s="25"/>
      <c r="G128" s="64"/>
      <c r="H128" s="65" t="s">
        <v>459</v>
      </c>
      <c r="I128" s="66"/>
      <c r="J128" s="102"/>
      <c r="K128" s="67"/>
      <c r="L128" s="89">
        <f>SUM(L126:L126)</f>
        <v>0</v>
      </c>
      <c r="M128" s="89">
        <f>SUM(M126:M126)</f>
        <v>0</v>
      </c>
      <c r="N128" s="148"/>
    </row>
    <row r="129" spans="1:14" x14ac:dyDescent="0.35">
      <c r="A129" s="470"/>
      <c r="B129" s="56"/>
      <c r="C129" s="8"/>
      <c r="D129" s="8"/>
      <c r="E129" s="8"/>
      <c r="F129" s="28"/>
      <c r="G129" s="28"/>
      <c r="H129" s="29"/>
      <c r="I129" s="29"/>
      <c r="J129" s="97"/>
      <c r="K129" s="29"/>
      <c r="L129" s="29"/>
      <c r="M129" s="29"/>
      <c r="N129" s="148"/>
    </row>
    <row r="130" spans="1:14" ht="18.5" x14ac:dyDescent="0.35">
      <c r="A130" s="470"/>
      <c r="B130" s="57">
        <v>210</v>
      </c>
      <c r="C130" s="35" t="s">
        <v>38</v>
      </c>
      <c r="D130" s="35" t="s">
        <v>89</v>
      </c>
      <c r="E130" s="40"/>
      <c r="F130" s="160" t="s">
        <v>635</v>
      </c>
      <c r="G130" s="161" t="s">
        <v>102</v>
      </c>
      <c r="H130" s="103" t="s">
        <v>528</v>
      </c>
      <c r="I130" s="68" t="s">
        <v>4</v>
      </c>
      <c r="J130" s="95">
        <f>2*2.1*1.88</f>
        <v>7.8959999999999999</v>
      </c>
      <c r="K130" s="312">
        <v>0</v>
      </c>
      <c r="L130" s="69">
        <f>K130*J130</f>
        <v>0</v>
      </c>
      <c r="M130" s="312">
        <v>0</v>
      </c>
      <c r="N130" s="148"/>
    </row>
    <row r="131" spans="1:14" x14ac:dyDescent="0.35">
      <c r="A131" s="470"/>
      <c r="B131" s="56"/>
      <c r="C131" s="8"/>
      <c r="D131" s="8"/>
      <c r="E131" s="8"/>
      <c r="F131" s="13"/>
      <c r="G131" s="13"/>
      <c r="H131" s="103"/>
      <c r="I131" s="68"/>
      <c r="J131" s="95"/>
      <c r="K131" s="69"/>
      <c r="L131" s="69"/>
      <c r="M131" s="69"/>
      <c r="N131" s="148"/>
    </row>
    <row r="132" spans="1:14" ht="15.5" x14ac:dyDescent="0.35">
      <c r="A132" s="470"/>
      <c r="B132" s="76"/>
      <c r="C132" s="77"/>
      <c r="D132" s="77"/>
      <c r="E132" s="77"/>
      <c r="F132" s="30"/>
      <c r="G132" s="31"/>
      <c r="H132" s="32" t="s">
        <v>459</v>
      </c>
      <c r="I132" s="33"/>
      <c r="J132" s="98"/>
      <c r="K132" s="34"/>
      <c r="L132" s="137">
        <f>SUM(L130:L130)</f>
        <v>0</v>
      </c>
      <c r="M132" s="137">
        <f>SUM(M130:M130)</f>
        <v>0</v>
      </c>
      <c r="N132" s="148"/>
    </row>
    <row r="133" spans="1:14" s="135" customFormat="1" x14ac:dyDescent="0.35">
      <c r="A133" s="470"/>
      <c r="B133" s="56"/>
      <c r="C133" s="8"/>
      <c r="D133" s="8"/>
      <c r="E133" s="8"/>
      <c r="F133" s="28"/>
      <c r="G133" s="28"/>
      <c r="H133" s="29"/>
      <c r="I133" s="29"/>
      <c r="J133" s="97"/>
      <c r="K133" s="29"/>
      <c r="L133" s="29"/>
      <c r="M133" s="29"/>
      <c r="N133" s="148"/>
    </row>
    <row r="134" spans="1:14" s="135" customFormat="1" ht="18.5" x14ac:dyDescent="0.35">
      <c r="A134" s="470"/>
      <c r="B134" s="57">
        <v>211</v>
      </c>
      <c r="C134" s="35" t="s">
        <v>38</v>
      </c>
      <c r="D134" s="35" t="s">
        <v>90</v>
      </c>
      <c r="E134" s="40"/>
      <c r="F134" s="160" t="s">
        <v>635</v>
      </c>
      <c r="G134" s="161" t="s">
        <v>398</v>
      </c>
      <c r="H134" s="103" t="s">
        <v>529</v>
      </c>
      <c r="I134" s="68" t="s">
        <v>4</v>
      </c>
      <c r="J134" s="95">
        <f>3*0.54*0.36</f>
        <v>0.58320000000000005</v>
      </c>
      <c r="K134" s="312">
        <v>0</v>
      </c>
      <c r="L134" s="69">
        <f>K134*J134</f>
        <v>0</v>
      </c>
      <c r="M134" s="312">
        <v>0</v>
      </c>
      <c r="N134" s="148"/>
    </row>
    <row r="135" spans="1:14" s="135" customFormat="1" x14ac:dyDescent="0.35">
      <c r="A135" s="470"/>
      <c r="B135" s="56"/>
      <c r="C135" s="8"/>
      <c r="D135" s="8"/>
      <c r="E135" s="8"/>
      <c r="F135" s="13"/>
      <c r="G135" s="13"/>
      <c r="H135" s="103"/>
      <c r="I135" s="68"/>
      <c r="J135" s="95"/>
      <c r="K135" s="69"/>
      <c r="L135" s="69"/>
      <c r="M135" s="69"/>
      <c r="N135" s="148"/>
    </row>
    <row r="136" spans="1:14" s="135" customFormat="1" ht="15.5" x14ac:dyDescent="0.35">
      <c r="A136" s="470"/>
      <c r="B136" s="76"/>
      <c r="C136" s="77"/>
      <c r="D136" s="77"/>
      <c r="E136" s="77"/>
      <c r="F136" s="30"/>
      <c r="G136" s="31"/>
      <c r="H136" s="32" t="s">
        <v>459</v>
      </c>
      <c r="I136" s="33"/>
      <c r="J136" s="98"/>
      <c r="K136" s="34"/>
      <c r="L136" s="137">
        <f>SUM(L134:L134)</f>
        <v>0</v>
      </c>
      <c r="M136" s="137">
        <f>SUM(M134:M134)</f>
        <v>0</v>
      </c>
      <c r="N136" s="148"/>
    </row>
    <row r="137" spans="1:14" x14ac:dyDescent="0.35">
      <c r="A137" s="470"/>
      <c r="B137" s="56"/>
      <c r="C137" s="8"/>
      <c r="D137" s="8"/>
      <c r="E137" s="8"/>
      <c r="F137" s="8"/>
      <c r="G137" s="8"/>
      <c r="H137" s="141"/>
      <c r="I137" s="141"/>
      <c r="J137" s="162"/>
      <c r="K137" s="141"/>
      <c r="L137" s="141"/>
      <c r="M137" s="141"/>
      <c r="N137" s="148"/>
    </row>
    <row r="138" spans="1:14" ht="18.5" x14ac:dyDescent="0.35">
      <c r="A138" s="470"/>
      <c r="B138" s="57">
        <v>212</v>
      </c>
      <c r="C138" s="35" t="s">
        <v>38</v>
      </c>
      <c r="D138" s="35" t="s">
        <v>91</v>
      </c>
      <c r="E138" s="40"/>
      <c r="F138" s="160" t="s">
        <v>31</v>
      </c>
      <c r="G138" s="161"/>
      <c r="H138" s="103" t="s">
        <v>528</v>
      </c>
      <c r="I138" s="68" t="s">
        <v>4</v>
      </c>
      <c r="J138" s="95">
        <f>2.5+0.45*(1.025+1.37+1.6+2.51+1.785+1.53+0.25+0.25)</f>
        <v>7.1439999999999992</v>
      </c>
      <c r="K138" s="312">
        <v>0</v>
      </c>
      <c r="L138" s="69">
        <f>K138*J138</f>
        <v>0</v>
      </c>
      <c r="M138" s="312">
        <v>0</v>
      </c>
      <c r="N138" s="148"/>
    </row>
    <row r="139" spans="1:14" x14ac:dyDescent="0.35">
      <c r="A139" s="470"/>
      <c r="B139" s="56"/>
      <c r="C139" s="8"/>
      <c r="D139" s="8"/>
      <c r="E139" s="8"/>
      <c r="F139" s="13"/>
      <c r="G139" s="13"/>
      <c r="H139" s="103"/>
      <c r="I139" s="68"/>
      <c r="J139" s="95"/>
      <c r="K139" s="69"/>
      <c r="L139" s="69"/>
      <c r="M139" s="69"/>
      <c r="N139" s="148"/>
    </row>
    <row r="140" spans="1:14" ht="15.5" x14ac:dyDescent="0.35">
      <c r="A140" s="470"/>
      <c r="B140" s="76"/>
      <c r="C140" s="77"/>
      <c r="D140" s="77"/>
      <c r="E140" s="77"/>
      <c r="F140" s="30"/>
      <c r="G140" s="31"/>
      <c r="H140" s="32" t="s">
        <v>459</v>
      </c>
      <c r="I140" s="33"/>
      <c r="J140" s="98"/>
      <c r="K140" s="34"/>
      <c r="L140" s="137">
        <f>SUM(L138:L138)</f>
        <v>0</v>
      </c>
      <c r="M140" s="137">
        <f>SUM(M138:M138)</f>
        <v>0</v>
      </c>
      <c r="N140" s="148"/>
    </row>
    <row r="141" spans="1:14" x14ac:dyDescent="0.35">
      <c r="A141" s="470"/>
      <c r="B141" s="56"/>
      <c r="C141" s="8"/>
      <c r="D141" s="8"/>
      <c r="E141" s="8"/>
      <c r="F141" s="28"/>
      <c r="G141" s="28"/>
      <c r="H141" s="29"/>
      <c r="I141" s="29"/>
      <c r="J141" s="97"/>
      <c r="K141" s="29"/>
      <c r="L141" s="29"/>
      <c r="M141" s="29"/>
      <c r="N141" s="148"/>
    </row>
    <row r="142" spans="1:14" ht="18.5" x14ac:dyDescent="0.35">
      <c r="A142" s="470"/>
      <c r="B142" s="57">
        <v>213</v>
      </c>
      <c r="C142" s="35" t="s">
        <v>38</v>
      </c>
      <c r="D142" s="35" t="s">
        <v>92</v>
      </c>
      <c r="E142" s="40"/>
      <c r="F142" s="160" t="s">
        <v>103</v>
      </c>
      <c r="G142" s="161"/>
      <c r="H142" s="103" t="s">
        <v>584</v>
      </c>
      <c r="I142" s="68" t="s">
        <v>6</v>
      </c>
      <c r="J142" s="95">
        <v>30</v>
      </c>
      <c r="K142" s="312">
        <v>0</v>
      </c>
      <c r="M142" s="69">
        <f>J142*K142</f>
        <v>0</v>
      </c>
      <c r="N142" s="148" t="s">
        <v>711</v>
      </c>
    </row>
    <row r="143" spans="1:14" x14ac:dyDescent="0.35">
      <c r="A143" s="470"/>
      <c r="B143" s="56"/>
      <c r="C143" s="8"/>
      <c r="D143" s="8"/>
      <c r="E143" s="8"/>
      <c r="F143" s="13"/>
      <c r="G143" s="13"/>
      <c r="H143" s="103"/>
      <c r="I143" s="68"/>
      <c r="J143" s="95"/>
      <c r="K143" s="69"/>
      <c r="L143" s="69"/>
      <c r="M143" s="69"/>
      <c r="N143" s="148"/>
    </row>
    <row r="144" spans="1:14" ht="15.5" x14ac:dyDescent="0.35">
      <c r="A144" s="470"/>
      <c r="B144" s="76"/>
      <c r="C144" s="77"/>
      <c r="D144" s="77"/>
      <c r="E144" s="77"/>
      <c r="F144" s="30"/>
      <c r="G144" s="31"/>
      <c r="H144" s="32" t="s">
        <v>459</v>
      </c>
      <c r="I144" s="33"/>
      <c r="J144" s="98"/>
      <c r="K144" s="34"/>
      <c r="L144" s="137">
        <f>SUM(L142)</f>
        <v>0</v>
      </c>
      <c r="M144" s="137">
        <f>M142</f>
        <v>0</v>
      </c>
      <c r="N144" s="148"/>
    </row>
    <row r="145" spans="1:14" ht="15" thickBot="1" x14ac:dyDescent="0.4">
      <c r="A145" s="470"/>
      <c r="B145" s="56"/>
      <c r="C145" s="8"/>
      <c r="D145" s="8"/>
      <c r="E145" s="8"/>
      <c r="F145" s="8"/>
      <c r="G145" s="8"/>
      <c r="H145" s="141"/>
      <c r="I145" s="141"/>
      <c r="J145" s="162"/>
      <c r="K145" s="141"/>
      <c r="L145" s="141"/>
      <c r="M145" s="141"/>
      <c r="N145" s="148"/>
    </row>
    <row r="146" spans="1:14" ht="19" thickBot="1" x14ac:dyDescent="0.4">
      <c r="A146" s="470"/>
      <c r="B146" s="453" t="s">
        <v>43</v>
      </c>
      <c r="C146" s="454"/>
      <c r="D146" s="454"/>
      <c r="E146" s="454"/>
      <c r="F146" s="454"/>
      <c r="G146" s="140"/>
      <c r="H146" s="140" t="s">
        <v>459</v>
      </c>
      <c r="I146" s="50"/>
      <c r="J146" s="94"/>
      <c r="K146" s="51"/>
      <c r="L146" s="52">
        <f>+L140+L132+L128+L144+L136</f>
        <v>0</v>
      </c>
      <c r="M146" s="53">
        <f>+M140+M132+M128+M144+M136</f>
        <v>0</v>
      </c>
      <c r="N146" s="148"/>
    </row>
    <row r="147" spans="1:14" ht="19" thickBot="1" x14ac:dyDescent="0.4">
      <c r="A147" s="471"/>
      <c r="B147" s="58"/>
      <c r="C147" s="21"/>
      <c r="D147" s="21"/>
      <c r="E147" s="14"/>
      <c r="F147" s="15"/>
      <c r="G147" s="15"/>
      <c r="H147" s="16"/>
      <c r="I147" s="17"/>
      <c r="J147" s="96"/>
      <c r="K147" s="277"/>
      <c r="L147" s="278"/>
      <c r="M147" s="276"/>
      <c r="N147" s="148"/>
    </row>
    <row r="148" spans="1:14" s="74" customFormat="1" ht="18.5" x14ac:dyDescent="0.35">
      <c r="A148" s="469" t="s">
        <v>46</v>
      </c>
      <c r="B148" s="56"/>
      <c r="C148" s="20"/>
      <c r="D148" s="20"/>
      <c r="E148" s="8"/>
      <c r="F148" s="13"/>
      <c r="G148" s="13"/>
      <c r="H148" s="141"/>
      <c r="I148" s="68"/>
      <c r="J148" s="95"/>
      <c r="K148" s="69"/>
      <c r="L148" s="69"/>
      <c r="M148" s="69"/>
      <c r="N148" s="146"/>
    </row>
    <row r="149" spans="1:14" s="74" customFormat="1" ht="18.75" customHeight="1" x14ac:dyDescent="0.35">
      <c r="A149" s="462"/>
      <c r="B149" s="57">
        <v>214</v>
      </c>
      <c r="C149" s="35" t="s">
        <v>47</v>
      </c>
      <c r="D149" s="35" t="s">
        <v>345</v>
      </c>
      <c r="E149" s="40"/>
      <c r="F149" s="160" t="s">
        <v>620</v>
      </c>
      <c r="G149" s="161" t="s">
        <v>106</v>
      </c>
      <c r="H149" s="103" t="s">
        <v>517</v>
      </c>
      <c r="I149" s="68" t="s">
        <v>6</v>
      </c>
      <c r="J149" s="95">
        <v>20</v>
      </c>
      <c r="K149" s="312">
        <v>0</v>
      </c>
      <c r="L149" s="69">
        <f>K149*J149</f>
        <v>0</v>
      </c>
      <c r="M149" s="312">
        <v>0</v>
      </c>
      <c r="N149" s="148"/>
    </row>
    <row r="150" spans="1:14" s="74" customFormat="1" ht="18.5" x14ac:dyDescent="0.35">
      <c r="A150" s="462"/>
      <c r="B150" s="56"/>
      <c r="C150" s="8"/>
      <c r="D150" s="227"/>
      <c r="E150" s="8"/>
      <c r="F150" s="13"/>
      <c r="G150" s="13"/>
      <c r="H150" s="103"/>
      <c r="I150" s="68"/>
      <c r="J150" s="95"/>
      <c r="K150" s="69"/>
      <c r="L150" s="69"/>
      <c r="M150" s="69"/>
      <c r="N150" s="148"/>
    </row>
    <row r="151" spans="1:14" s="74" customFormat="1" ht="18.5" x14ac:dyDescent="0.35">
      <c r="A151" s="462"/>
      <c r="B151" s="76"/>
      <c r="C151" s="77"/>
      <c r="D151" s="91"/>
      <c r="E151" s="77"/>
      <c r="F151" s="30"/>
      <c r="G151" s="31"/>
      <c r="H151" s="32" t="s">
        <v>459</v>
      </c>
      <c r="I151" s="33"/>
      <c r="J151" s="98"/>
      <c r="K151" s="34"/>
      <c r="L151" s="137">
        <f>SUM(L149:L149)</f>
        <v>0</v>
      </c>
      <c r="M151" s="137">
        <f>SUM(M149:M149)</f>
        <v>0</v>
      </c>
      <c r="N151" s="148"/>
    </row>
    <row r="152" spans="1:14" s="74" customFormat="1" ht="18.5" x14ac:dyDescent="0.35">
      <c r="A152" s="462"/>
      <c r="B152" s="56"/>
      <c r="C152" s="20"/>
      <c r="D152" s="227"/>
      <c r="E152" s="8"/>
      <c r="F152" s="13"/>
      <c r="G152" s="13"/>
      <c r="H152" s="141"/>
      <c r="I152" s="68"/>
      <c r="J152" s="95"/>
      <c r="K152" s="69"/>
      <c r="L152" s="69"/>
      <c r="M152" s="69"/>
      <c r="N152" s="148"/>
    </row>
    <row r="153" spans="1:14" s="74" customFormat="1" ht="18.75" customHeight="1" x14ac:dyDescent="0.35">
      <c r="A153" s="462"/>
      <c r="B153" s="57">
        <v>215</v>
      </c>
      <c r="C153" s="35" t="s">
        <v>47</v>
      </c>
      <c r="D153" s="35" t="s">
        <v>346</v>
      </c>
      <c r="E153" s="40"/>
      <c r="F153" s="160" t="s">
        <v>620</v>
      </c>
      <c r="G153" s="161" t="s">
        <v>105</v>
      </c>
      <c r="H153" s="103" t="s">
        <v>517</v>
      </c>
      <c r="I153" s="68" t="s">
        <v>6</v>
      </c>
      <c r="J153" s="95">
        <v>1</v>
      </c>
      <c r="K153" s="312">
        <v>0</v>
      </c>
      <c r="L153" s="69">
        <f>K153*J153</f>
        <v>0</v>
      </c>
      <c r="M153" s="312">
        <v>0</v>
      </c>
      <c r="N153" s="148"/>
    </row>
    <row r="154" spans="1:14" s="74" customFormat="1" ht="18.5" x14ac:dyDescent="0.35">
      <c r="A154" s="462"/>
      <c r="B154" s="56"/>
      <c r="C154" s="8"/>
      <c r="D154" s="227"/>
      <c r="E154" s="8"/>
      <c r="F154" s="13"/>
      <c r="G154" s="13"/>
      <c r="H154" s="103"/>
      <c r="I154" s="68"/>
      <c r="J154" s="95"/>
      <c r="K154" s="69"/>
      <c r="L154" s="69"/>
      <c r="M154" s="69"/>
      <c r="N154" s="148"/>
    </row>
    <row r="155" spans="1:14" s="74" customFormat="1" ht="18.5" x14ac:dyDescent="0.35">
      <c r="A155" s="462"/>
      <c r="B155" s="76"/>
      <c r="C155" s="77"/>
      <c r="D155" s="91"/>
      <c r="E155" s="77"/>
      <c r="F155" s="30"/>
      <c r="G155" s="31"/>
      <c r="H155" s="32" t="s">
        <v>459</v>
      </c>
      <c r="I155" s="33"/>
      <c r="J155" s="98"/>
      <c r="K155" s="34"/>
      <c r="L155" s="137">
        <f>SUM(L153:L153)</f>
        <v>0</v>
      </c>
      <c r="M155" s="137">
        <f>SUM(M153:M153)</f>
        <v>0</v>
      </c>
      <c r="N155" s="148"/>
    </row>
    <row r="156" spans="1:14" s="74" customFormat="1" ht="18.5" x14ac:dyDescent="0.35">
      <c r="A156" s="462"/>
      <c r="B156" s="56"/>
      <c r="C156" s="20"/>
      <c r="D156" s="227"/>
      <c r="E156" s="8"/>
      <c r="F156" s="13"/>
      <c r="G156" s="13"/>
      <c r="H156" s="141"/>
      <c r="I156" s="68"/>
      <c r="J156" s="95"/>
      <c r="K156" s="69"/>
      <c r="L156" s="69"/>
      <c r="M156" s="69"/>
      <c r="N156" s="148"/>
    </row>
    <row r="157" spans="1:14" s="74" customFormat="1" ht="18.75" customHeight="1" x14ac:dyDescent="0.35">
      <c r="A157" s="462"/>
      <c r="B157" s="57">
        <v>216</v>
      </c>
      <c r="C157" s="35" t="s">
        <v>47</v>
      </c>
      <c r="D157" s="35" t="s">
        <v>347</v>
      </c>
      <c r="E157" s="40"/>
      <c r="F157" s="160" t="s">
        <v>620</v>
      </c>
      <c r="G157" s="161" t="s">
        <v>124</v>
      </c>
      <c r="H157" s="103" t="s">
        <v>599</v>
      </c>
      <c r="I157" s="68" t="s">
        <v>6</v>
      </c>
      <c r="J157" s="95">
        <v>4</v>
      </c>
      <c r="K157" s="312">
        <v>0</v>
      </c>
      <c r="L157" s="69">
        <f>K157*J157</f>
        <v>0</v>
      </c>
      <c r="M157" s="312">
        <v>0</v>
      </c>
      <c r="N157" s="148"/>
    </row>
    <row r="158" spans="1:14" s="74" customFormat="1" ht="18.5" x14ac:dyDescent="0.35">
      <c r="A158" s="462"/>
      <c r="B158" s="56"/>
      <c r="C158" s="8"/>
      <c r="D158" s="227"/>
      <c r="E158" s="8"/>
      <c r="F158" s="13"/>
      <c r="G158" s="13"/>
      <c r="H158" s="103"/>
      <c r="I158" s="68"/>
      <c r="J158" s="95"/>
      <c r="K158" s="69"/>
      <c r="L158" s="69"/>
      <c r="M158" s="69"/>
      <c r="N158" s="148"/>
    </row>
    <row r="159" spans="1:14" s="74" customFormat="1" ht="18.5" x14ac:dyDescent="0.35">
      <c r="A159" s="462"/>
      <c r="B159" s="76"/>
      <c r="C159" s="77"/>
      <c r="D159" s="91"/>
      <c r="E159" s="77"/>
      <c r="F159" s="30"/>
      <c r="G159" s="31"/>
      <c r="H159" s="32" t="s">
        <v>459</v>
      </c>
      <c r="I159" s="33"/>
      <c r="J159" s="98"/>
      <c r="K159" s="34"/>
      <c r="L159" s="137">
        <f>SUM(L157:L157)</f>
        <v>0</v>
      </c>
      <c r="M159" s="137">
        <f>SUM(M157:M157)</f>
        <v>0</v>
      </c>
      <c r="N159" s="148"/>
    </row>
    <row r="160" spans="1:14" s="74" customFormat="1" ht="18.5" x14ac:dyDescent="0.35">
      <c r="A160" s="462"/>
      <c r="B160" s="56"/>
      <c r="C160" s="20"/>
      <c r="D160" s="227"/>
      <c r="E160" s="8"/>
      <c r="F160" s="13"/>
      <c r="G160" s="13"/>
      <c r="H160" s="141"/>
      <c r="I160" s="68"/>
      <c r="J160" s="95"/>
      <c r="K160" s="69"/>
      <c r="L160" s="69"/>
      <c r="M160" s="69"/>
      <c r="N160" s="148"/>
    </row>
    <row r="161" spans="1:14" s="74" customFormat="1" ht="18.75" customHeight="1" x14ac:dyDescent="0.35">
      <c r="A161" s="462"/>
      <c r="B161" s="57">
        <v>217</v>
      </c>
      <c r="C161" s="35" t="s">
        <v>47</v>
      </c>
      <c r="D161" s="35" t="s">
        <v>348</v>
      </c>
      <c r="E161" s="40"/>
      <c r="F161" s="160" t="s">
        <v>52</v>
      </c>
      <c r="G161" s="161" t="s">
        <v>340</v>
      </c>
      <c r="H161" s="103" t="s">
        <v>339</v>
      </c>
      <c r="I161" s="68" t="s">
        <v>6</v>
      </c>
      <c r="J161" s="95">
        <v>2</v>
      </c>
      <c r="K161" s="312">
        <v>0</v>
      </c>
      <c r="L161" s="69">
        <f>K161*J161</f>
        <v>0</v>
      </c>
      <c r="M161" s="312">
        <v>0</v>
      </c>
      <c r="N161" s="148"/>
    </row>
    <row r="162" spans="1:14" s="74" customFormat="1" ht="18.5" x14ac:dyDescent="0.35">
      <c r="A162" s="462"/>
      <c r="B162" s="56"/>
      <c r="C162" s="8"/>
      <c r="D162" s="227"/>
      <c r="E162" s="8"/>
      <c r="F162" s="13"/>
      <c r="G162" s="13"/>
      <c r="H162" s="103"/>
      <c r="I162" s="68"/>
      <c r="J162" s="95"/>
      <c r="K162" s="69"/>
      <c r="L162" s="69"/>
      <c r="M162" s="69"/>
      <c r="N162" s="148"/>
    </row>
    <row r="163" spans="1:14" s="74" customFormat="1" ht="18.5" x14ac:dyDescent="0.35">
      <c r="A163" s="462"/>
      <c r="B163" s="76"/>
      <c r="C163" s="77"/>
      <c r="D163" s="91"/>
      <c r="E163" s="77"/>
      <c r="F163" s="25"/>
      <c r="G163" s="64"/>
      <c r="H163" s="65" t="s">
        <v>459</v>
      </c>
      <c r="I163" s="66"/>
      <c r="J163" s="102"/>
      <c r="K163" s="67"/>
      <c r="L163" s="89">
        <f>SUM(L161:L161)</f>
        <v>0</v>
      </c>
      <c r="M163" s="89">
        <f>SUM(M161:M161)</f>
        <v>0</v>
      </c>
      <c r="N163" s="148"/>
    </row>
    <row r="164" spans="1:14" s="74" customFormat="1" ht="18.5" x14ac:dyDescent="0.35">
      <c r="A164" s="462"/>
      <c r="B164" s="56"/>
      <c r="C164" s="8"/>
      <c r="D164" s="227"/>
      <c r="E164" s="8"/>
      <c r="F164" s="28"/>
      <c r="G164" s="28"/>
      <c r="H164" s="29"/>
      <c r="I164" s="29"/>
      <c r="J164" s="97"/>
      <c r="K164" s="29"/>
      <c r="L164" s="29"/>
      <c r="M164" s="29"/>
      <c r="N164" s="148"/>
    </row>
    <row r="165" spans="1:14" s="74" customFormat="1" ht="18.5" x14ac:dyDescent="0.35">
      <c r="A165" s="462"/>
      <c r="B165" s="57">
        <v>218</v>
      </c>
      <c r="C165" s="35" t="s">
        <v>47</v>
      </c>
      <c r="D165" s="35" t="s">
        <v>349</v>
      </c>
      <c r="E165" s="40"/>
      <c r="F165" s="160" t="s">
        <v>619</v>
      </c>
      <c r="G165" s="161" t="s">
        <v>621</v>
      </c>
      <c r="H165" s="103" t="s">
        <v>569</v>
      </c>
      <c r="I165" s="68" t="s">
        <v>5</v>
      </c>
      <c r="J165" s="95">
        <v>18</v>
      </c>
      <c r="K165" s="312">
        <v>0</v>
      </c>
      <c r="L165" s="69">
        <f>K165*J165</f>
        <v>0</v>
      </c>
      <c r="M165" s="312">
        <v>0</v>
      </c>
      <c r="N165" s="148"/>
    </row>
    <row r="166" spans="1:14" s="74" customFormat="1" ht="18.5" x14ac:dyDescent="0.35">
      <c r="A166" s="462"/>
      <c r="B166" s="56"/>
      <c r="C166" s="8"/>
      <c r="D166" s="227"/>
      <c r="E166" s="8"/>
      <c r="F166" s="13"/>
      <c r="G166" s="13"/>
      <c r="H166" s="103"/>
      <c r="I166" s="68"/>
      <c r="J166" s="95"/>
      <c r="K166" s="69"/>
      <c r="L166" s="69"/>
      <c r="M166" s="69"/>
      <c r="N166" s="148"/>
    </row>
    <row r="167" spans="1:14" s="74" customFormat="1" ht="18.5" x14ac:dyDescent="0.35">
      <c r="A167" s="462"/>
      <c r="B167" s="76"/>
      <c r="C167" s="77"/>
      <c r="D167" s="91"/>
      <c r="E167" s="77"/>
      <c r="F167" s="30"/>
      <c r="G167" s="31"/>
      <c r="H167" s="32" t="s">
        <v>459</v>
      </c>
      <c r="I167" s="33"/>
      <c r="J167" s="98"/>
      <c r="K167" s="34"/>
      <c r="L167" s="137">
        <f>SUM(L165:L165)</f>
        <v>0</v>
      </c>
      <c r="M167" s="137">
        <f>SUM(M165:M165)</f>
        <v>0</v>
      </c>
      <c r="N167" s="148"/>
    </row>
    <row r="168" spans="1:14" s="74" customFormat="1" ht="18.5" x14ac:dyDescent="0.35">
      <c r="A168" s="462"/>
      <c r="B168" s="56"/>
      <c r="C168" s="8"/>
      <c r="D168" s="227"/>
      <c r="E168" s="8"/>
      <c r="F168" s="8"/>
      <c r="G168" s="8"/>
      <c r="H168" s="141"/>
      <c r="I168" s="141"/>
      <c r="J168" s="162"/>
      <c r="K168" s="141"/>
      <c r="L168" s="141"/>
      <c r="M168" s="141"/>
      <c r="N168" s="148"/>
    </row>
    <row r="169" spans="1:14" s="74" customFormat="1" ht="18.5" x14ac:dyDescent="0.35">
      <c r="A169" s="462"/>
      <c r="B169" s="57">
        <v>219</v>
      </c>
      <c r="C169" s="35" t="s">
        <v>47</v>
      </c>
      <c r="D169" s="35" t="s">
        <v>350</v>
      </c>
      <c r="E169" s="40"/>
      <c r="F169" s="160" t="s">
        <v>313</v>
      </c>
      <c r="G169" s="161" t="s">
        <v>221</v>
      </c>
      <c r="H169" s="103" t="s">
        <v>307</v>
      </c>
      <c r="I169" s="68" t="s">
        <v>5</v>
      </c>
      <c r="J169" s="95">
        <v>8</v>
      </c>
      <c r="K169" s="312">
        <v>0</v>
      </c>
      <c r="L169" s="69">
        <f>K169*J169</f>
        <v>0</v>
      </c>
      <c r="M169" s="312">
        <v>0</v>
      </c>
      <c r="N169" s="148"/>
    </row>
    <row r="170" spans="1:14" s="74" customFormat="1" ht="18.5" x14ac:dyDescent="0.35">
      <c r="A170" s="462"/>
      <c r="B170" s="56"/>
      <c r="C170" s="8"/>
      <c r="D170" s="227"/>
      <c r="E170" s="8"/>
      <c r="F170" s="13"/>
      <c r="G170" s="13"/>
      <c r="H170" s="103"/>
      <c r="I170" s="68"/>
      <c r="J170" s="95"/>
      <c r="K170" s="69"/>
      <c r="L170" s="69"/>
      <c r="M170" s="69"/>
      <c r="N170" s="148"/>
    </row>
    <row r="171" spans="1:14" s="74" customFormat="1" ht="15.5" x14ac:dyDescent="0.35">
      <c r="A171" s="462"/>
      <c r="B171" s="76"/>
      <c r="C171" s="77"/>
      <c r="D171" s="77"/>
      <c r="E171" s="77"/>
      <c r="F171" s="30"/>
      <c r="G171" s="31"/>
      <c r="H171" s="32" t="s">
        <v>459</v>
      </c>
      <c r="I171" s="33"/>
      <c r="J171" s="98"/>
      <c r="K171" s="34"/>
      <c r="L171" s="137">
        <f>SUM(L169:L169)</f>
        <v>0</v>
      </c>
      <c r="M171" s="137">
        <f>SUM(M169:M169)</f>
        <v>0</v>
      </c>
      <c r="N171" s="148"/>
    </row>
    <row r="172" spans="1:14" s="74" customFormat="1" x14ac:dyDescent="0.35">
      <c r="A172" s="462"/>
      <c r="B172" s="56"/>
      <c r="C172" s="8"/>
      <c r="D172" s="8"/>
      <c r="E172" s="8"/>
      <c r="F172" s="8"/>
      <c r="G172" s="8"/>
      <c r="H172" s="141"/>
      <c r="I172" s="141"/>
      <c r="J172" s="162"/>
      <c r="K172" s="141"/>
      <c r="L172" s="141"/>
      <c r="M172" s="141"/>
      <c r="N172" s="148"/>
    </row>
    <row r="173" spans="1:14" s="74" customFormat="1" ht="18.5" x14ac:dyDescent="0.35">
      <c r="A173" s="462"/>
      <c r="B173" s="57">
        <v>220</v>
      </c>
      <c r="C173" s="35" t="s">
        <v>47</v>
      </c>
      <c r="D173" s="35" t="s">
        <v>351</v>
      </c>
      <c r="E173" s="40"/>
      <c r="F173" s="160" t="s">
        <v>313</v>
      </c>
      <c r="G173" s="161" t="s">
        <v>51</v>
      </c>
      <c r="H173" s="103" t="s">
        <v>563</v>
      </c>
      <c r="I173" s="68" t="s">
        <v>5</v>
      </c>
      <c r="J173" s="95">
        <v>24</v>
      </c>
      <c r="K173" s="312">
        <v>0</v>
      </c>
      <c r="L173" s="69">
        <f>K173*J173</f>
        <v>0</v>
      </c>
      <c r="M173" s="312">
        <v>0</v>
      </c>
      <c r="N173" s="148"/>
    </row>
    <row r="174" spans="1:14" s="74" customFormat="1" x14ac:dyDescent="0.35">
      <c r="A174" s="462"/>
      <c r="B174" s="56"/>
      <c r="C174" s="8"/>
      <c r="D174" s="8"/>
      <c r="E174" s="8"/>
      <c r="F174" s="13"/>
      <c r="G174" s="13"/>
      <c r="H174" s="103"/>
      <c r="I174" s="68"/>
      <c r="J174" s="95"/>
      <c r="K174" s="69"/>
      <c r="L174" s="69"/>
      <c r="M174" s="69"/>
      <c r="N174" s="148"/>
    </row>
    <row r="175" spans="1:14" s="74" customFormat="1" ht="15.5" x14ac:dyDescent="0.35">
      <c r="A175" s="462"/>
      <c r="B175" s="76"/>
      <c r="C175" s="77"/>
      <c r="D175" s="77"/>
      <c r="E175" s="77"/>
      <c r="F175" s="30"/>
      <c r="G175" s="31"/>
      <c r="H175" s="32" t="s">
        <v>459</v>
      </c>
      <c r="I175" s="33"/>
      <c r="J175" s="98"/>
      <c r="K175" s="34"/>
      <c r="L175" s="137">
        <f>SUM(L173:L173)</f>
        <v>0</v>
      </c>
      <c r="M175" s="137">
        <f>SUM(M173:M173)</f>
        <v>0</v>
      </c>
      <c r="N175" s="148"/>
    </row>
    <row r="176" spans="1:14" s="74" customFormat="1" x14ac:dyDescent="0.35">
      <c r="A176" s="462"/>
      <c r="B176" s="56"/>
      <c r="C176" s="8"/>
      <c r="D176" s="8"/>
      <c r="E176" s="8"/>
      <c r="F176" s="8"/>
      <c r="G176" s="8"/>
      <c r="H176" s="141"/>
      <c r="I176" s="141"/>
      <c r="J176" s="162"/>
      <c r="K176" s="141"/>
      <c r="L176" s="141"/>
      <c r="M176" s="141"/>
      <c r="N176" s="148"/>
    </row>
    <row r="177" spans="1:14" s="74" customFormat="1" ht="18.5" x14ac:dyDescent="0.35">
      <c r="A177" s="462"/>
      <c r="B177" s="57">
        <v>221</v>
      </c>
      <c r="C177" s="35" t="s">
        <v>47</v>
      </c>
      <c r="D177" s="35" t="s">
        <v>352</v>
      </c>
      <c r="E177" s="40"/>
      <c r="F177" s="160" t="s">
        <v>313</v>
      </c>
      <c r="G177" s="161" t="s">
        <v>301</v>
      </c>
      <c r="H177" s="103" t="s">
        <v>302</v>
      </c>
      <c r="I177" s="68" t="s">
        <v>5</v>
      </c>
      <c r="J177" s="95">
        <v>3</v>
      </c>
      <c r="K177" s="312">
        <v>0</v>
      </c>
      <c r="L177" s="69">
        <f>K177*J177</f>
        <v>0</v>
      </c>
      <c r="M177" s="312">
        <v>0</v>
      </c>
      <c r="N177" s="148"/>
    </row>
    <row r="178" spans="1:14" s="74" customFormat="1" x14ac:dyDescent="0.35">
      <c r="A178" s="462"/>
      <c r="B178" s="56"/>
      <c r="C178" s="8"/>
      <c r="D178" s="8"/>
      <c r="E178" s="8"/>
      <c r="F178" s="13"/>
      <c r="G178" s="13"/>
      <c r="H178" s="103"/>
      <c r="I178" s="68"/>
      <c r="J178" s="95"/>
      <c r="K178" s="69"/>
      <c r="L178" s="69"/>
      <c r="M178" s="69"/>
      <c r="N178" s="148"/>
    </row>
    <row r="179" spans="1:14" s="74" customFormat="1" ht="15.5" x14ac:dyDescent="0.35">
      <c r="A179" s="462"/>
      <c r="B179" s="76"/>
      <c r="C179" s="77"/>
      <c r="D179" s="77"/>
      <c r="E179" s="77"/>
      <c r="F179" s="30"/>
      <c r="G179" s="31"/>
      <c r="H179" s="32" t="s">
        <v>459</v>
      </c>
      <c r="I179" s="33"/>
      <c r="J179" s="98"/>
      <c r="K179" s="34"/>
      <c r="L179" s="137">
        <f>SUM(L177:L177)</f>
        <v>0</v>
      </c>
      <c r="M179" s="137">
        <f>SUM(M177:M177)</f>
        <v>0</v>
      </c>
      <c r="N179" s="148"/>
    </row>
    <row r="180" spans="1:14" ht="15" thickBot="1" x14ac:dyDescent="0.4">
      <c r="A180" s="462"/>
      <c r="B180" s="56"/>
      <c r="C180" s="8"/>
      <c r="D180" s="8"/>
      <c r="E180" s="8"/>
      <c r="F180" s="8"/>
      <c r="G180" s="8"/>
      <c r="H180" s="141"/>
      <c r="I180" s="141"/>
      <c r="J180" s="162"/>
      <c r="K180" s="141"/>
      <c r="L180" s="141"/>
      <c r="M180" s="141"/>
      <c r="N180" s="148"/>
    </row>
    <row r="181" spans="1:14" ht="19" thickBot="1" x14ac:dyDescent="0.4">
      <c r="A181" s="462"/>
      <c r="B181" s="453" t="s">
        <v>45</v>
      </c>
      <c r="C181" s="454"/>
      <c r="D181" s="454"/>
      <c r="E181" s="454"/>
      <c r="F181" s="454"/>
      <c r="G181" s="140"/>
      <c r="H181" s="140" t="s">
        <v>459</v>
      </c>
      <c r="I181" s="50"/>
      <c r="J181" s="94"/>
      <c r="K181" s="51"/>
      <c r="L181" s="52">
        <f>L179+L175+L171+L167+L163+L159+L155+L151</f>
        <v>0</v>
      </c>
      <c r="M181" s="53">
        <f>M179+M175+M171+M167+M163+M159+M155+M151</f>
        <v>0</v>
      </c>
      <c r="N181" s="148"/>
    </row>
    <row r="182" spans="1:14" ht="19" thickBot="1" x14ac:dyDescent="0.4">
      <c r="A182" s="463"/>
      <c r="B182" s="58"/>
      <c r="C182" s="21"/>
      <c r="D182" s="21"/>
      <c r="E182" s="14"/>
      <c r="F182" s="15"/>
      <c r="G182" s="15"/>
      <c r="H182" s="16"/>
      <c r="I182" s="17"/>
      <c r="J182" s="96"/>
      <c r="K182" s="277"/>
      <c r="L182" s="278"/>
      <c r="M182" s="276"/>
      <c r="N182" s="148"/>
    </row>
    <row r="183" spans="1:14" ht="18.5" x14ac:dyDescent="0.35">
      <c r="A183" s="469" t="s">
        <v>59</v>
      </c>
      <c r="B183" s="56"/>
      <c r="C183" s="20"/>
      <c r="D183" s="20"/>
      <c r="E183" s="8"/>
      <c r="F183" s="13"/>
      <c r="G183" s="13"/>
      <c r="H183" s="141"/>
      <c r="I183" s="68"/>
      <c r="J183" s="95"/>
      <c r="K183" s="69"/>
      <c r="L183" s="69"/>
      <c r="M183" s="69"/>
      <c r="N183" s="146"/>
    </row>
    <row r="184" spans="1:14" ht="18.75" customHeight="1" x14ac:dyDescent="0.35">
      <c r="A184" s="470"/>
      <c r="B184" s="57">
        <v>222</v>
      </c>
      <c r="C184" s="35" t="s">
        <v>60</v>
      </c>
      <c r="D184" s="35" t="s">
        <v>88</v>
      </c>
      <c r="E184" s="40"/>
      <c r="F184" s="160" t="s">
        <v>107</v>
      </c>
      <c r="G184" s="161" t="s">
        <v>73</v>
      </c>
      <c r="H184" s="103" t="s">
        <v>622</v>
      </c>
      <c r="I184" s="68" t="s">
        <v>6</v>
      </c>
      <c r="J184" s="95">
        <v>1</v>
      </c>
      <c r="K184" s="312">
        <v>0</v>
      </c>
      <c r="L184" s="69">
        <f>K184*J184</f>
        <v>0</v>
      </c>
      <c r="M184" s="312">
        <v>0</v>
      </c>
      <c r="N184" s="148" t="s">
        <v>570</v>
      </c>
    </row>
    <row r="185" spans="1:14" ht="18.5" x14ac:dyDescent="0.35">
      <c r="A185" s="470"/>
      <c r="B185" s="56"/>
      <c r="C185" s="20"/>
      <c r="D185" s="20"/>
      <c r="E185" s="8"/>
      <c r="F185" s="13"/>
      <c r="G185" s="161"/>
      <c r="H185" s="103" t="s">
        <v>62</v>
      </c>
      <c r="I185" s="68" t="s">
        <v>6</v>
      </c>
      <c r="J185" s="95">
        <v>1</v>
      </c>
      <c r="K185" s="312">
        <v>0</v>
      </c>
      <c r="L185" s="69">
        <f>K185*J185</f>
        <v>0</v>
      </c>
      <c r="M185" s="312">
        <v>0</v>
      </c>
      <c r="N185" s="148" t="s">
        <v>550</v>
      </c>
    </row>
    <row r="186" spans="1:14" ht="72.5" x14ac:dyDescent="0.35">
      <c r="A186" s="470"/>
      <c r="B186" s="56"/>
      <c r="C186" s="20"/>
      <c r="D186" s="20"/>
      <c r="E186" s="8"/>
      <c r="F186" s="13"/>
      <c r="G186" s="161"/>
      <c r="H186" s="103" t="s">
        <v>63</v>
      </c>
      <c r="I186" s="68" t="s">
        <v>6</v>
      </c>
      <c r="J186" s="95">
        <v>1</v>
      </c>
      <c r="K186" s="312">
        <v>0</v>
      </c>
      <c r="L186" s="69">
        <f>K186*J186</f>
        <v>0</v>
      </c>
      <c r="M186" s="312">
        <v>0</v>
      </c>
      <c r="N186" s="219" t="s">
        <v>573</v>
      </c>
    </row>
    <row r="187" spans="1:14" ht="18.5" x14ac:dyDescent="0.35">
      <c r="A187" s="470"/>
      <c r="B187" s="56"/>
      <c r="C187" s="20"/>
      <c r="D187" s="20"/>
      <c r="E187" s="8"/>
      <c r="F187" s="13"/>
      <c r="G187" s="161"/>
      <c r="H187" s="103" t="s">
        <v>64</v>
      </c>
      <c r="I187" s="68" t="s">
        <v>6</v>
      </c>
      <c r="J187" s="95">
        <v>1</v>
      </c>
      <c r="K187" s="312">
        <v>0</v>
      </c>
      <c r="L187" s="69">
        <f>K187*J187</f>
        <v>0</v>
      </c>
      <c r="M187" s="312">
        <v>0</v>
      </c>
      <c r="N187" s="148" t="s">
        <v>571</v>
      </c>
    </row>
    <row r="188" spans="1:14" s="74" customFormat="1" x14ac:dyDescent="0.35">
      <c r="A188" s="462"/>
      <c r="B188" s="56"/>
      <c r="C188" s="8"/>
      <c r="D188" s="8"/>
      <c r="E188" s="8"/>
      <c r="F188" s="13"/>
      <c r="G188" s="13"/>
      <c r="H188" s="103"/>
      <c r="I188" s="68"/>
      <c r="J188" s="95"/>
      <c r="K188" s="69"/>
      <c r="L188" s="69"/>
      <c r="M188" s="69"/>
      <c r="N188" s="148"/>
    </row>
    <row r="189" spans="1:14" x14ac:dyDescent="0.35">
      <c r="A189" s="462"/>
      <c r="B189" s="56"/>
      <c r="C189" s="8"/>
      <c r="D189" s="8"/>
      <c r="E189" s="8"/>
      <c r="F189" s="13"/>
      <c r="G189" s="13" t="s">
        <v>74</v>
      </c>
      <c r="H189" s="103" t="s">
        <v>77</v>
      </c>
      <c r="I189" s="68" t="s">
        <v>279</v>
      </c>
      <c r="J189" s="95">
        <v>2</v>
      </c>
      <c r="K189" s="312">
        <v>0</v>
      </c>
      <c r="L189" s="141"/>
      <c r="M189" s="69">
        <f>K189*J189</f>
        <v>0</v>
      </c>
      <c r="N189" s="148"/>
    </row>
    <row r="190" spans="1:14" x14ac:dyDescent="0.35">
      <c r="A190" s="462"/>
      <c r="B190" s="56"/>
      <c r="C190" s="8"/>
      <c r="D190" s="8"/>
      <c r="E190" s="8"/>
      <c r="F190" s="13"/>
      <c r="G190" s="13"/>
      <c r="H190" s="103" t="s">
        <v>78</v>
      </c>
      <c r="I190" s="68" t="s">
        <v>279</v>
      </c>
      <c r="J190" s="95">
        <v>2</v>
      </c>
      <c r="K190" s="312">
        <v>0</v>
      </c>
      <c r="L190" s="141"/>
      <c r="M190" s="69">
        <f>K190*J190</f>
        <v>0</v>
      </c>
      <c r="N190" s="148"/>
    </row>
    <row r="191" spans="1:14" x14ac:dyDescent="0.35">
      <c r="A191" s="462"/>
      <c r="B191" s="56"/>
      <c r="C191" s="8"/>
      <c r="D191" s="8"/>
      <c r="E191" s="8"/>
      <c r="F191" s="13"/>
      <c r="G191" s="13"/>
      <c r="H191" s="103" t="s">
        <v>79</v>
      </c>
      <c r="I191" s="68" t="s">
        <v>279</v>
      </c>
      <c r="J191" s="95">
        <v>1</v>
      </c>
      <c r="K191" s="312">
        <v>0</v>
      </c>
      <c r="L191" s="141"/>
      <c r="M191" s="69">
        <f>K191*J191</f>
        <v>0</v>
      </c>
      <c r="N191" s="148"/>
    </row>
    <row r="192" spans="1:14" x14ac:dyDescent="0.35">
      <c r="A192" s="462"/>
      <c r="B192" s="56"/>
      <c r="C192" s="8"/>
      <c r="D192" s="8"/>
      <c r="E192" s="8"/>
      <c r="F192" s="13"/>
      <c r="G192" s="13"/>
      <c r="H192" s="103"/>
      <c r="I192" s="68"/>
      <c r="J192" s="95"/>
      <c r="K192" s="69"/>
      <c r="L192" s="69"/>
      <c r="M192" s="69"/>
      <c r="N192" s="148"/>
    </row>
    <row r="193" spans="1:14" ht="15.5" x14ac:dyDescent="0.35">
      <c r="A193" s="462"/>
      <c r="B193" s="76"/>
      <c r="C193" s="77"/>
      <c r="D193" s="77"/>
      <c r="E193" s="77"/>
      <c r="F193" s="25"/>
      <c r="G193" s="64"/>
      <c r="H193" s="65" t="s">
        <v>459</v>
      </c>
      <c r="I193" s="66"/>
      <c r="J193" s="102"/>
      <c r="K193" s="67"/>
      <c r="L193" s="89">
        <f>SUM(L184:L191)</f>
        <v>0</v>
      </c>
      <c r="M193" s="89">
        <f>SUM(M184:M191)</f>
        <v>0</v>
      </c>
      <c r="N193" s="148"/>
    </row>
    <row r="194" spans="1:14" x14ac:dyDescent="0.35">
      <c r="A194" s="462"/>
      <c r="B194" s="56"/>
      <c r="C194" s="8"/>
      <c r="D194" s="8"/>
      <c r="E194" s="8"/>
      <c r="F194" s="28"/>
      <c r="G194" s="28"/>
      <c r="H194" s="29"/>
      <c r="I194" s="29"/>
      <c r="J194" s="97"/>
      <c r="K194" s="29"/>
      <c r="L194" s="29"/>
      <c r="M194" s="29"/>
      <c r="N194" s="148"/>
    </row>
    <row r="195" spans="1:14" ht="43.5" x14ac:dyDescent="0.35">
      <c r="A195" s="462"/>
      <c r="B195" s="57">
        <v>223</v>
      </c>
      <c r="C195" s="35" t="s">
        <v>60</v>
      </c>
      <c r="D195" s="35" t="s">
        <v>89</v>
      </c>
      <c r="E195" s="40"/>
      <c r="F195" s="160" t="s">
        <v>66</v>
      </c>
      <c r="G195" s="161" t="s">
        <v>73</v>
      </c>
      <c r="H195" s="103" t="s">
        <v>701</v>
      </c>
      <c r="I195" s="68" t="s">
        <v>6</v>
      </c>
      <c r="J195" s="95">
        <v>1</v>
      </c>
      <c r="K195" s="312">
        <v>0</v>
      </c>
      <c r="L195" s="69">
        <f>K195*J195</f>
        <v>0</v>
      </c>
      <c r="M195" s="312">
        <v>0</v>
      </c>
      <c r="N195" s="148" t="s">
        <v>609</v>
      </c>
    </row>
    <row r="196" spans="1:14" ht="18.5" x14ac:dyDescent="0.35">
      <c r="A196" s="462"/>
      <c r="B196" s="56"/>
      <c r="C196" s="20"/>
      <c r="D196" s="20"/>
      <c r="E196" s="8"/>
      <c r="F196" s="13"/>
      <c r="G196" s="161"/>
      <c r="H196" s="323" t="s">
        <v>729</v>
      </c>
      <c r="I196" s="68" t="s">
        <v>6</v>
      </c>
      <c r="J196" s="95">
        <v>1</v>
      </c>
      <c r="K196" s="312">
        <v>0</v>
      </c>
      <c r="L196" s="69">
        <f>K196*J196</f>
        <v>0</v>
      </c>
      <c r="M196" s="312">
        <v>0</v>
      </c>
      <c r="N196" s="219" t="s">
        <v>730</v>
      </c>
    </row>
    <row r="197" spans="1:14" x14ac:dyDescent="0.35">
      <c r="A197" s="462"/>
      <c r="B197" s="56"/>
      <c r="C197" s="8"/>
      <c r="D197" s="8"/>
      <c r="E197" s="8"/>
      <c r="F197" s="13"/>
      <c r="G197" s="13"/>
      <c r="H197" s="103" t="s">
        <v>65</v>
      </c>
      <c r="I197" s="68" t="s">
        <v>6</v>
      </c>
      <c r="J197" s="95">
        <v>1</v>
      </c>
      <c r="K197" s="312">
        <v>0</v>
      </c>
      <c r="L197" s="69">
        <f>K197*J197</f>
        <v>0</v>
      </c>
      <c r="M197" s="312">
        <v>0</v>
      </c>
      <c r="N197" s="148" t="s">
        <v>565</v>
      </c>
    </row>
    <row r="198" spans="1:14" s="74" customFormat="1" x14ac:dyDescent="0.35">
      <c r="A198" s="462"/>
      <c r="B198" s="56"/>
      <c r="C198" s="8"/>
      <c r="D198" s="8"/>
      <c r="E198" s="8"/>
      <c r="F198" s="13"/>
      <c r="G198" s="13"/>
      <c r="H198" s="103"/>
      <c r="I198" s="68"/>
      <c r="J198" s="95"/>
      <c r="K198" s="69"/>
      <c r="L198" s="69"/>
      <c r="M198" s="69"/>
      <c r="N198" s="148"/>
    </row>
    <row r="199" spans="1:14" x14ac:dyDescent="0.35">
      <c r="A199" s="462"/>
      <c r="B199" s="56"/>
      <c r="C199" s="8"/>
      <c r="D199" s="8"/>
      <c r="E199" s="8"/>
      <c r="F199" s="13"/>
      <c r="G199" s="13" t="s">
        <v>74</v>
      </c>
      <c r="H199" s="103" t="s">
        <v>80</v>
      </c>
      <c r="I199" s="68" t="s">
        <v>279</v>
      </c>
      <c r="J199" s="95">
        <v>3</v>
      </c>
      <c r="K199" s="312">
        <v>0</v>
      </c>
      <c r="L199" s="141"/>
      <c r="M199" s="69">
        <f>K199*J199</f>
        <v>0</v>
      </c>
      <c r="N199" s="148"/>
    </row>
    <row r="200" spans="1:14" x14ac:dyDescent="0.35">
      <c r="A200" s="462"/>
      <c r="B200" s="56"/>
      <c r="C200" s="8"/>
      <c r="D200" s="8"/>
      <c r="E200" s="8"/>
      <c r="F200" s="13"/>
      <c r="G200" s="13"/>
      <c r="H200" s="103" t="s">
        <v>76</v>
      </c>
      <c r="I200" s="68" t="s">
        <v>279</v>
      </c>
      <c r="J200" s="95">
        <v>1</v>
      </c>
      <c r="K200" s="312">
        <v>0</v>
      </c>
      <c r="L200" s="141"/>
      <c r="M200" s="69">
        <f>K200*J200</f>
        <v>0</v>
      </c>
      <c r="N200" s="148"/>
    </row>
    <row r="201" spans="1:14" x14ac:dyDescent="0.35">
      <c r="A201" s="462"/>
      <c r="B201" s="56"/>
      <c r="C201" s="8"/>
      <c r="D201" s="8"/>
      <c r="E201" s="8"/>
      <c r="F201" s="13"/>
      <c r="G201" s="13"/>
      <c r="H201" s="103"/>
      <c r="I201" s="68"/>
      <c r="J201" s="95"/>
      <c r="K201" s="69"/>
      <c r="L201" s="69"/>
      <c r="M201" s="69"/>
      <c r="N201" s="148"/>
    </row>
    <row r="202" spans="1:14" ht="15.5" x14ac:dyDescent="0.35">
      <c r="A202" s="462"/>
      <c r="B202" s="76"/>
      <c r="C202" s="77"/>
      <c r="D202" s="77"/>
      <c r="E202" s="77"/>
      <c r="F202" s="30"/>
      <c r="G202" s="31"/>
      <c r="H202" s="32" t="s">
        <v>459</v>
      </c>
      <c r="I202" s="33"/>
      <c r="J202" s="98"/>
      <c r="K202" s="34"/>
      <c r="L202" s="137">
        <f>SUM(L195:L200)</f>
        <v>0</v>
      </c>
      <c r="M202" s="137">
        <f>SUM(M195:M200)</f>
        <v>0</v>
      </c>
      <c r="N202" s="148"/>
    </row>
    <row r="203" spans="1:14" x14ac:dyDescent="0.35">
      <c r="A203" s="462"/>
      <c r="B203" s="56"/>
      <c r="C203" s="8"/>
      <c r="D203" s="8"/>
      <c r="E203" s="8"/>
      <c r="F203" s="28"/>
      <c r="G203" s="28"/>
      <c r="H203" s="29"/>
      <c r="I203" s="29"/>
      <c r="J203" s="97"/>
      <c r="K203" s="29"/>
      <c r="L203" s="29"/>
      <c r="M203" s="29"/>
      <c r="N203" s="148"/>
    </row>
    <row r="204" spans="1:14" ht="58" x14ac:dyDescent="0.35">
      <c r="A204" s="462"/>
      <c r="B204" s="57">
        <v>224</v>
      </c>
      <c r="C204" s="35" t="s">
        <v>60</v>
      </c>
      <c r="D204" s="35" t="s">
        <v>90</v>
      </c>
      <c r="E204" s="40"/>
      <c r="F204" s="160" t="s">
        <v>108</v>
      </c>
      <c r="G204" s="161" t="s">
        <v>73</v>
      </c>
      <c r="H204" s="103" t="s">
        <v>624</v>
      </c>
      <c r="I204" s="68" t="s">
        <v>6</v>
      </c>
      <c r="J204" s="95">
        <v>1</v>
      </c>
      <c r="K204" s="312">
        <v>0</v>
      </c>
      <c r="L204" s="69">
        <f>K204*J204</f>
        <v>0</v>
      </c>
      <c r="M204" s="312">
        <v>0</v>
      </c>
      <c r="N204" s="148" t="s">
        <v>717</v>
      </c>
    </row>
    <row r="205" spans="1:14" ht="58" x14ac:dyDescent="0.35">
      <c r="A205" s="462"/>
      <c r="B205" s="249"/>
      <c r="C205" s="259"/>
      <c r="D205" s="259"/>
      <c r="E205" s="251"/>
      <c r="F205" s="241"/>
      <c r="G205" s="161"/>
      <c r="H205" s="103" t="s">
        <v>281</v>
      </c>
      <c r="I205" s="68" t="s">
        <v>6</v>
      </c>
      <c r="J205" s="95">
        <v>1</v>
      </c>
      <c r="K205" s="312">
        <v>0</v>
      </c>
      <c r="L205" s="69">
        <f>K205*J205</f>
        <v>0</v>
      </c>
      <c r="M205" s="312">
        <v>0</v>
      </c>
      <c r="N205" s="148" t="s">
        <v>572</v>
      </c>
    </row>
    <row r="206" spans="1:14" ht="18.5" x14ac:dyDescent="0.35">
      <c r="A206" s="462"/>
      <c r="B206" s="249"/>
      <c r="C206" s="250"/>
      <c r="D206" s="250"/>
      <c r="E206" s="251"/>
      <c r="F206" s="217"/>
      <c r="G206" s="13"/>
      <c r="H206" s="103" t="s">
        <v>64</v>
      </c>
      <c r="I206" s="68" t="s">
        <v>6</v>
      </c>
      <c r="J206" s="95">
        <v>2</v>
      </c>
      <c r="K206" s="312">
        <v>0</v>
      </c>
      <c r="L206" s="69">
        <f>K206*J206</f>
        <v>0</v>
      </c>
      <c r="M206" s="312">
        <v>0</v>
      </c>
      <c r="N206" s="148" t="s">
        <v>571</v>
      </c>
    </row>
    <row r="207" spans="1:14" ht="18.5" x14ac:dyDescent="0.35">
      <c r="A207" s="462"/>
      <c r="B207" s="56"/>
      <c r="C207" s="20"/>
      <c r="D207" s="20"/>
      <c r="E207" s="8"/>
      <c r="F207" s="13"/>
      <c r="G207" s="13"/>
      <c r="H207" s="103" t="s">
        <v>554</v>
      </c>
      <c r="I207" s="68" t="s">
        <v>6</v>
      </c>
      <c r="J207" s="95">
        <v>1</v>
      </c>
      <c r="K207" s="312">
        <v>0</v>
      </c>
      <c r="L207" s="69">
        <f>K207*J207</f>
        <v>0</v>
      </c>
      <c r="M207" s="312">
        <v>0</v>
      </c>
      <c r="N207" s="148" t="s">
        <v>557</v>
      </c>
    </row>
    <row r="208" spans="1:14" ht="43.5" x14ac:dyDescent="0.35">
      <c r="A208" s="462"/>
      <c r="B208" s="56"/>
      <c r="C208" s="20"/>
      <c r="D208" s="20"/>
      <c r="E208" s="8"/>
      <c r="F208" s="13"/>
      <c r="G208" s="13"/>
      <c r="H208" s="103" t="s">
        <v>516</v>
      </c>
      <c r="I208" s="68" t="s">
        <v>6</v>
      </c>
      <c r="J208" s="95">
        <v>2</v>
      </c>
      <c r="K208" s="312">
        <v>0</v>
      </c>
      <c r="L208" s="69">
        <f>K208*J208</f>
        <v>0</v>
      </c>
      <c r="M208" s="312">
        <v>0</v>
      </c>
      <c r="N208" s="148" t="s">
        <v>541</v>
      </c>
    </row>
    <row r="209" spans="1:14" s="74" customFormat="1" ht="29" x14ac:dyDescent="0.35">
      <c r="A209" s="462"/>
      <c r="B209" s="56"/>
      <c r="C209" s="20"/>
      <c r="D209" s="20"/>
      <c r="E209" s="8"/>
      <c r="F209" s="13"/>
      <c r="G209" s="13"/>
      <c r="H209" s="103" t="s">
        <v>553</v>
      </c>
      <c r="I209" s="68" t="s">
        <v>6</v>
      </c>
      <c r="J209" s="95">
        <v>1</v>
      </c>
      <c r="K209" s="312">
        <v>0</v>
      </c>
      <c r="L209" s="69">
        <f>K209*J209</f>
        <v>0</v>
      </c>
      <c r="M209" s="312">
        <v>0</v>
      </c>
      <c r="N209" s="148" t="s">
        <v>556</v>
      </c>
    </row>
    <row r="210" spans="1:14" ht="18.5" x14ac:dyDescent="0.35">
      <c r="A210" s="462"/>
      <c r="B210" s="56"/>
      <c r="C210" s="20"/>
      <c r="D210" s="20"/>
      <c r="E210" s="8"/>
      <c r="F210" s="13"/>
      <c r="G210" s="13"/>
      <c r="H210" s="103" t="s">
        <v>62</v>
      </c>
      <c r="I210" s="68" t="s">
        <v>6</v>
      </c>
      <c r="J210" s="95">
        <v>1</v>
      </c>
      <c r="K210" s="312">
        <v>0</v>
      </c>
      <c r="L210" s="69">
        <f>K210*J210</f>
        <v>0</v>
      </c>
      <c r="M210" s="312">
        <v>0</v>
      </c>
      <c r="N210" s="148" t="s">
        <v>550</v>
      </c>
    </row>
    <row r="211" spans="1:14" s="74" customFormat="1" ht="18.5" x14ac:dyDescent="0.35">
      <c r="A211" s="462"/>
      <c r="B211" s="56"/>
      <c r="C211" s="20"/>
      <c r="D211" s="20"/>
      <c r="E211" s="8"/>
      <c r="F211" s="13"/>
      <c r="G211" s="13"/>
      <c r="H211" s="103"/>
      <c r="I211" s="68"/>
      <c r="J211" s="95"/>
      <c r="K211" s="69"/>
      <c r="L211" s="69"/>
      <c r="M211" s="69"/>
      <c r="N211" s="148"/>
    </row>
    <row r="212" spans="1:14" x14ac:dyDescent="0.35">
      <c r="A212" s="462"/>
      <c r="B212" s="56"/>
      <c r="C212" s="8"/>
      <c r="D212" s="8"/>
      <c r="E212" s="8"/>
      <c r="F212" s="13"/>
      <c r="G212" s="13" t="s">
        <v>698</v>
      </c>
      <c r="H212" s="103" t="s">
        <v>111</v>
      </c>
      <c r="I212" s="68" t="s">
        <v>279</v>
      </c>
      <c r="J212" s="95">
        <v>4</v>
      </c>
      <c r="K212" s="312">
        <v>0</v>
      </c>
      <c r="L212" s="141"/>
      <c r="M212" s="69">
        <f>K212*J212</f>
        <v>0</v>
      </c>
      <c r="N212" s="148"/>
    </row>
    <row r="213" spans="1:14" s="74" customFormat="1" x14ac:dyDescent="0.35">
      <c r="A213" s="462"/>
      <c r="B213" s="56"/>
      <c r="C213" s="8"/>
      <c r="D213" s="8"/>
      <c r="E213" s="8"/>
      <c r="F213" s="13"/>
      <c r="G213" s="13"/>
      <c r="H213" s="103" t="s">
        <v>112</v>
      </c>
      <c r="I213" s="68" t="s">
        <v>279</v>
      </c>
      <c r="J213" s="95">
        <v>3</v>
      </c>
      <c r="K213" s="312">
        <v>0</v>
      </c>
      <c r="L213" s="141"/>
      <c r="M213" s="69">
        <f>K213*J213</f>
        <v>0</v>
      </c>
      <c r="N213" s="148"/>
    </row>
    <row r="214" spans="1:14" s="74" customFormat="1" x14ac:dyDescent="0.35">
      <c r="A214" s="462"/>
      <c r="B214" s="56"/>
      <c r="C214" s="8"/>
      <c r="D214" s="8"/>
      <c r="E214" s="8"/>
      <c r="F214" s="13"/>
      <c r="G214" s="13"/>
      <c r="H214" s="103" t="s">
        <v>75</v>
      </c>
      <c r="I214" s="68" t="s">
        <v>279</v>
      </c>
      <c r="J214" s="95">
        <v>1</v>
      </c>
      <c r="K214" s="312">
        <v>0</v>
      </c>
      <c r="L214" s="141"/>
      <c r="M214" s="69">
        <f>K214*J214</f>
        <v>0</v>
      </c>
      <c r="N214" s="148"/>
    </row>
    <row r="215" spans="1:14" x14ac:dyDescent="0.35">
      <c r="A215" s="462"/>
      <c r="B215" s="56"/>
      <c r="C215" s="8"/>
      <c r="D215" s="8"/>
      <c r="E215" s="8"/>
      <c r="F215" s="13"/>
      <c r="G215" s="13"/>
      <c r="H215" s="213" t="s">
        <v>733</v>
      </c>
      <c r="I215" s="68" t="s">
        <v>279</v>
      </c>
      <c r="J215" s="95">
        <v>1</v>
      </c>
      <c r="K215" s="312">
        <v>0</v>
      </c>
      <c r="L215" s="141"/>
      <c r="M215" s="69">
        <f>K215*J215</f>
        <v>0</v>
      </c>
      <c r="N215" s="148"/>
    </row>
    <row r="216" spans="1:14" x14ac:dyDescent="0.35">
      <c r="A216" s="462"/>
      <c r="B216" s="56"/>
      <c r="C216" s="8"/>
      <c r="D216" s="8"/>
      <c r="E216" s="8"/>
      <c r="F216" s="13"/>
      <c r="G216" s="13"/>
      <c r="H216" s="103"/>
      <c r="I216" s="68"/>
      <c r="J216" s="95"/>
      <c r="K216" s="69"/>
      <c r="L216" s="69"/>
      <c r="M216" s="69"/>
      <c r="N216" s="148"/>
    </row>
    <row r="217" spans="1:14" ht="15.5" x14ac:dyDescent="0.35">
      <c r="A217" s="462"/>
      <c r="B217" s="76"/>
      <c r="C217" s="77"/>
      <c r="D217" s="77"/>
      <c r="E217" s="77"/>
      <c r="F217" s="30"/>
      <c r="G217" s="31"/>
      <c r="H217" s="32" t="s">
        <v>459</v>
      </c>
      <c r="I217" s="33"/>
      <c r="J217" s="98"/>
      <c r="K217" s="34"/>
      <c r="L217" s="137">
        <f>SUM(L204:L215)</f>
        <v>0</v>
      </c>
      <c r="M217" s="137">
        <f>SUM(M204:M215)</f>
        <v>0</v>
      </c>
      <c r="N217" s="148"/>
    </row>
    <row r="218" spans="1:14" x14ac:dyDescent="0.35">
      <c r="A218" s="462"/>
      <c r="B218" s="56"/>
      <c r="C218" s="8"/>
      <c r="D218" s="8"/>
      <c r="E218" s="8"/>
      <c r="F218" s="28"/>
      <c r="G218" s="28"/>
      <c r="H218" s="29"/>
      <c r="I218" s="29"/>
      <c r="J218" s="97"/>
      <c r="K218" s="29"/>
      <c r="L218" s="29"/>
      <c r="M218" s="29"/>
      <c r="N218" s="148"/>
    </row>
    <row r="219" spans="1:14" ht="29" x14ac:dyDescent="0.35">
      <c r="A219" s="462"/>
      <c r="B219" s="57">
        <v>225</v>
      </c>
      <c r="C219" s="35" t="s">
        <v>60</v>
      </c>
      <c r="D219" s="35" t="s">
        <v>91</v>
      </c>
      <c r="E219" s="40"/>
      <c r="F219" s="160" t="s">
        <v>109</v>
      </c>
      <c r="G219" s="161" t="s">
        <v>73</v>
      </c>
      <c r="H219" s="213" t="s">
        <v>702</v>
      </c>
      <c r="I219" s="68" t="s">
        <v>6</v>
      </c>
      <c r="J219" s="95">
        <v>3</v>
      </c>
      <c r="K219" s="312">
        <v>0</v>
      </c>
      <c r="L219" s="69">
        <f>K219*J219</f>
        <v>0</v>
      </c>
      <c r="M219" s="312">
        <v>0</v>
      </c>
      <c r="N219" s="219" t="s">
        <v>634</v>
      </c>
    </row>
    <row r="220" spans="1:14" s="74" customFormat="1" ht="18.5" x14ac:dyDescent="0.35">
      <c r="A220" s="462"/>
      <c r="B220" s="249"/>
      <c r="C220" s="259"/>
      <c r="D220" s="259"/>
      <c r="E220" s="251"/>
      <c r="F220" s="241"/>
      <c r="G220" s="216"/>
      <c r="H220" s="228"/>
      <c r="I220" s="68"/>
      <c r="J220" s="95"/>
      <c r="K220" s="69"/>
      <c r="L220" s="69"/>
      <c r="M220" s="69"/>
      <c r="N220" s="148"/>
    </row>
    <row r="221" spans="1:14" x14ac:dyDescent="0.35">
      <c r="A221" s="462"/>
      <c r="B221" s="249"/>
      <c r="C221" s="251"/>
      <c r="D221" s="251"/>
      <c r="E221" s="251"/>
      <c r="F221" s="217"/>
      <c r="G221" s="217" t="s">
        <v>74</v>
      </c>
      <c r="H221" s="228" t="s">
        <v>625</v>
      </c>
      <c r="I221" s="68" t="s">
        <v>279</v>
      </c>
      <c r="J221" s="95">
        <v>1</v>
      </c>
      <c r="K221" s="312">
        <v>0</v>
      </c>
      <c r="L221" s="141"/>
      <c r="M221" s="69">
        <f>K221*J221</f>
        <v>0</v>
      </c>
      <c r="N221" s="148"/>
    </row>
    <row r="222" spans="1:14" x14ac:dyDescent="0.35">
      <c r="A222" s="462"/>
      <c r="B222" s="249"/>
      <c r="C222" s="251"/>
      <c r="D222" s="251"/>
      <c r="E222" s="251"/>
      <c r="F222" s="217"/>
      <c r="G222" s="217"/>
      <c r="H222" s="228" t="s">
        <v>113</v>
      </c>
      <c r="I222" s="68" t="s">
        <v>279</v>
      </c>
      <c r="J222" s="95">
        <v>1</v>
      </c>
      <c r="K222" s="312">
        <v>0</v>
      </c>
      <c r="L222" s="141"/>
      <c r="M222" s="69">
        <f>K222*J222</f>
        <v>0</v>
      </c>
      <c r="N222" s="148"/>
    </row>
    <row r="223" spans="1:14" ht="18.5" x14ac:dyDescent="0.35">
      <c r="A223" s="462"/>
      <c r="B223" s="249"/>
      <c r="C223" s="250"/>
      <c r="D223" s="250"/>
      <c r="E223" s="251"/>
      <c r="F223" s="217"/>
      <c r="G223" s="217"/>
      <c r="H223" s="228"/>
      <c r="I223" s="68"/>
      <c r="J223" s="95"/>
      <c r="K223" s="69"/>
      <c r="L223" s="69"/>
      <c r="M223" s="69"/>
      <c r="N223" s="148"/>
    </row>
    <row r="224" spans="1:14" ht="15.5" x14ac:dyDescent="0.35">
      <c r="A224" s="462"/>
      <c r="B224" s="76"/>
      <c r="C224" s="77"/>
      <c r="D224" s="77"/>
      <c r="E224" s="77"/>
      <c r="F224" s="30"/>
      <c r="G224" s="31"/>
      <c r="H224" s="32" t="s">
        <v>459</v>
      </c>
      <c r="I224" s="33"/>
      <c r="J224" s="98"/>
      <c r="K224" s="34"/>
      <c r="L224" s="137">
        <f>SUM(L219:L223)</f>
        <v>0</v>
      </c>
      <c r="M224" s="137">
        <f>SUM(M219:M223)</f>
        <v>0</v>
      </c>
      <c r="N224" s="148"/>
    </row>
    <row r="225" spans="1:14" s="135" customFormat="1" x14ac:dyDescent="0.35">
      <c r="A225" s="462"/>
      <c r="B225" s="249"/>
      <c r="C225" s="251"/>
      <c r="D225" s="251"/>
      <c r="E225" s="251"/>
      <c r="F225" s="263"/>
      <c r="G225" s="263"/>
      <c r="H225" s="240"/>
      <c r="I225" s="211"/>
      <c r="J225" s="212"/>
      <c r="K225" s="220"/>
      <c r="L225" s="240"/>
      <c r="M225" s="240"/>
      <c r="N225" s="165"/>
    </row>
    <row r="226" spans="1:14" s="135" customFormat="1" ht="18.5" x14ac:dyDescent="0.35">
      <c r="A226" s="462"/>
      <c r="B226" s="57">
        <v>226</v>
      </c>
      <c r="C226" s="35" t="s">
        <v>60</v>
      </c>
      <c r="D226" s="35" t="s">
        <v>92</v>
      </c>
      <c r="E226" s="40"/>
      <c r="F226" s="160" t="s">
        <v>428</v>
      </c>
      <c r="G226" s="216" t="s">
        <v>73</v>
      </c>
      <c r="H226" s="228" t="s">
        <v>429</v>
      </c>
      <c r="I226" s="211" t="s">
        <v>6</v>
      </c>
      <c r="J226" s="212">
        <v>1</v>
      </c>
      <c r="K226" s="312">
        <v>0</v>
      </c>
      <c r="L226" s="220">
        <f>K226*J226</f>
        <v>0</v>
      </c>
      <c r="M226" s="312">
        <v>0</v>
      </c>
      <c r="N226" s="253"/>
    </row>
    <row r="227" spans="1:14" s="135" customFormat="1" x14ac:dyDescent="0.35">
      <c r="A227" s="462"/>
      <c r="B227" s="249"/>
      <c r="C227" s="251"/>
      <c r="D227" s="251"/>
      <c r="E227" s="251"/>
      <c r="F227" s="217"/>
      <c r="G227" s="217"/>
      <c r="H227" s="228"/>
      <c r="I227" s="211"/>
      <c r="J227" s="212"/>
      <c r="K227" s="220"/>
      <c r="L227" s="220"/>
      <c r="M227" s="220"/>
      <c r="N227" s="219"/>
    </row>
    <row r="228" spans="1:14" s="135" customFormat="1" ht="15.5" x14ac:dyDescent="0.35">
      <c r="A228" s="462"/>
      <c r="B228" s="260"/>
      <c r="C228" s="261"/>
      <c r="D228" s="261"/>
      <c r="E228" s="261"/>
      <c r="F228" s="262"/>
      <c r="G228" s="255"/>
      <c r="H228" s="234" t="s">
        <v>459</v>
      </c>
      <c r="I228" s="256"/>
      <c r="J228" s="257"/>
      <c r="K228" s="258"/>
      <c r="L228" s="137">
        <f>SUM(L226)</f>
        <v>0</v>
      </c>
      <c r="M228" s="137">
        <f>SUM(M226)</f>
        <v>0</v>
      </c>
      <c r="N228" s="148"/>
    </row>
    <row r="229" spans="1:14" ht="15" thickBot="1" x14ac:dyDescent="0.4">
      <c r="A229" s="462"/>
      <c r="B229" s="56"/>
      <c r="C229" s="8"/>
      <c r="D229" s="8"/>
      <c r="E229" s="8"/>
      <c r="F229" s="8"/>
      <c r="G229" s="8"/>
      <c r="H229" s="141"/>
      <c r="I229" s="141"/>
      <c r="J229" s="162"/>
      <c r="K229" s="141"/>
      <c r="L229" s="141"/>
      <c r="M229" s="141"/>
      <c r="N229" s="148"/>
    </row>
    <row r="230" spans="1:14" ht="19" thickBot="1" x14ac:dyDescent="0.4">
      <c r="A230" s="462"/>
      <c r="B230" s="453" t="s">
        <v>56</v>
      </c>
      <c r="C230" s="454"/>
      <c r="D230" s="454"/>
      <c r="E230" s="454"/>
      <c r="F230" s="454"/>
      <c r="G230" s="140"/>
      <c r="H230" s="140" t="s">
        <v>459</v>
      </c>
      <c r="I230" s="50"/>
      <c r="J230" s="94"/>
      <c r="K230" s="51"/>
      <c r="L230" s="52">
        <f>L224+L217+L202+L193+L228</f>
        <v>0</v>
      </c>
      <c r="M230" s="53">
        <f>M224+M217+M202+M193+M228</f>
        <v>0</v>
      </c>
      <c r="N230" s="148"/>
    </row>
    <row r="231" spans="1:14" ht="19" thickBot="1" x14ac:dyDescent="0.4">
      <c r="A231" s="463"/>
      <c r="B231" s="58"/>
      <c r="C231" s="21"/>
      <c r="D231" s="21"/>
      <c r="E231" s="14"/>
      <c r="F231" s="15"/>
      <c r="G231" s="15"/>
      <c r="H231" s="16"/>
      <c r="I231" s="17"/>
      <c r="J231" s="96"/>
      <c r="K231" s="277"/>
      <c r="L231" s="278"/>
      <c r="M231" s="276"/>
      <c r="N231" s="254"/>
    </row>
    <row r="232" spans="1:14" ht="18.5" x14ac:dyDescent="0.35">
      <c r="A232" s="482" t="s">
        <v>71</v>
      </c>
      <c r="B232" s="56"/>
      <c r="C232" s="20"/>
      <c r="D232" s="20"/>
      <c r="E232" s="8"/>
      <c r="F232" s="13"/>
      <c r="G232" s="13"/>
      <c r="H232" s="141"/>
      <c r="I232" s="68"/>
      <c r="J232" s="95"/>
      <c r="K232" s="69"/>
      <c r="L232" s="69"/>
      <c r="M232" s="69"/>
      <c r="N232" s="146"/>
    </row>
    <row r="233" spans="1:14" ht="18.75" customHeight="1" x14ac:dyDescent="0.35">
      <c r="A233" s="462"/>
      <c r="B233" s="57">
        <v>227</v>
      </c>
      <c r="C233" s="35" t="s">
        <v>72</v>
      </c>
      <c r="D233" s="35" t="s">
        <v>88</v>
      </c>
      <c r="E233" s="40"/>
      <c r="F233" s="160" t="s">
        <v>114</v>
      </c>
      <c r="G233" s="161"/>
      <c r="H233" s="103" t="s">
        <v>115</v>
      </c>
      <c r="I233" s="68" t="s">
        <v>6</v>
      </c>
      <c r="J233" s="95">
        <v>1</v>
      </c>
      <c r="K233" s="312">
        <v>0</v>
      </c>
      <c r="L233" s="69">
        <f>K233*J233</f>
        <v>0</v>
      </c>
      <c r="M233" s="312">
        <v>0</v>
      </c>
      <c r="N233" s="148"/>
    </row>
    <row r="234" spans="1:14" x14ac:dyDescent="0.35">
      <c r="A234" s="462"/>
      <c r="B234" s="56"/>
      <c r="C234" s="8"/>
      <c r="D234" s="8"/>
      <c r="E234" s="8"/>
      <c r="F234" s="13"/>
      <c r="G234" s="13"/>
      <c r="H234" s="103"/>
      <c r="I234" s="68"/>
      <c r="J234" s="95"/>
      <c r="K234" s="69"/>
      <c r="L234" s="69"/>
      <c r="M234" s="69"/>
      <c r="N234" s="148"/>
    </row>
    <row r="235" spans="1:14" ht="15.5" x14ac:dyDescent="0.35">
      <c r="A235" s="462"/>
      <c r="B235" s="76"/>
      <c r="C235" s="77"/>
      <c r="D235" s="77"/>
      <c r="E235" s="77"/>
      <c r="F235" s="30"/>
      <c r="G235" s="31"/>
      <c r="H235" s="32" t="s">
        <v>459</v>
      </c>
      <c r="I235" s="33"/>
      <c r="J235" s="98"/>
      <c r="K235" s="34"/>
      <c r="L235" s="137">
        <f>SUM(L233:L233)</f>
        <v>0</v>
      </c>
      <c r="M235" s="137">
        <f>SUM(M233:M233)</f>
        <v>0</v>
      </c>
      <c r="N235" s="148"/>
    </row>
    <row r="236" spans="1:14" ht="15" thickBot="1" x14ac:dyDescent="0.4">
      <c r="A236" s="462"/>
      <c r="B236" s="56"/>
      <c r="C236" s="8"/>
      <c r="D236" s="8"/>
      <c r="E236" s="8"/>
      <c r="F236" s="8"/>
      <c r="G236" s="8"/>
      <c r="H236" s="141"/>
      <c r="I236" s="141"/>
      <c r="J236" s="162"/>
      <c r="K236" s="141"/>
      <c r="L236" s="141"/>
      <c r="M236" s="141"/>
      <c r="N236" s="148"/>
    </row>
    <row r="237" spans="1:14" ht="19" thickBot="1" x14ac:dyDescent="0.4">
      <c r="A237" s="462"/>
      <c r="B237" s="453" t="s">
        <v>57</v>
      </c>
      <c r="C237" s="454"/>
      <c r="D237" s="454"/>
      <c r="E237" s="454"/>
      <c r="F237" s="454"/>
      <c r="G237" s="140"/>
      <c r="H237" s="140" t="s">
        <v>459</v>
      </c>
      <c r="I237" s="50"/>
      <c r="J237" s="94"/>
      <c r="K237" s="51"/>
      <c r="L237" s="52">
        <f>L235</f>
        <v>0</v>
      </c>
      <c r="M237" s="53">
        <f>M235</f>
        <v>0</v>
      </c>
      <c r="N237" s="171"/>
    </row>
    <row r="238" spans="1:14" ht="19" thickBot="1" x14ac:dyDescent="0.4">
      <c r="A238" s="463"/>
      <c r="B238" s="58"/>
      <c r="C238" s="21"/>
      <c r="D238" s="21"/>
      <c r="E238" s="14"/>
      <c r="F238" s="15"/>
      <c r="G238" s="15"/>
      <c r="H238" s="16"/>
      <c r="I238" s="17"/>
      <c r="J238" s="96"/>
      <c r="K238" s="277"/>
      <c r="L238" s="278"/>
      <c r="M238" s="276"/>
      <c r="N238" s="149"/>
    </row>
    <row r="239" spans="1:14" x14ac:dyDescent="0.35">
      <c r="J239" s="99"/>
    </row>
    <row r="240" spans="1:14" x14ac:dyDescent="0.35">
      <c r="A240" s="238"/>
      <c r="B240" s="330"/>
      <c r="C240" s="330"/>
      <c r="D240" s="330"/>
      <c r="E240" s="330"/>
      <c r="F240" s="330"/>
      <c r="G240" s="330"/>
      <c r="H240" s="330"/>
      <c r="I240" s="330"/>
      <c r="J240" s="330"/>
      <c r="K240" s="330"/>
      <c r="L240" s="330"/>
      <c r="M240" s="330"/>
      <c r="N240" s="330"/>
    </row>
    <row r="241" spans="10:10" x14ac:dyDescent="0.35">
      <c r="J241" s="99"/>
    </row>
    <row r="242" spans="10:10" x14ac:dyDescent="0.35">
      <c r="J242" s="99"/>
    </row>
    <row r="243" spans="10:10" x14ac:dyDescent="0.35">
      <c r="J243" s="99"/>
    </row>
    <row r="244" spans="10:10" x14ac:dyDescent="0.35">
      <c r="J244" s="99"/>
    </row>
    <row r="245" spans="10:10" x14ac:dyDescent="0.35">
      <c r="J245" s="99"/>
    </row>
    <row r="246" spans="10:10" x14ac:dyDescent="0.35">
      <c r="J246" s="99"/>
    </row>
    <row r="247" spans="10:10" x14ac:dyDescent="0.35">
      <c r="J247" s="99"/>
    </row>
    <row r="248" spans="10:10" x14ac:dyDescent="0.35">
      <c r="J248" s="99"/>
    </row>
    <row r="249" spans="10:10" x14ac:dyDescent="0.35">
      <c r="J249" s="99"/>
    </row>
    <row r="250" spans="10:10" x14ac:dyDescent="0.35">
      <c r="J250" s="99"/>
    </row>
    <row r="251" spans="10:10" x14ac:dyDescent="0.35">
      <c r="J251" s="99"/>
    </row>
    <row r="252" spans="10:10" x14ac:dyDescent="0.35">
      <c r="J252" s="99"/>
    </row>
    <row r="253" spans="10:10" x14ac:dyDescent="0.35">
      <c r="J253" s="99"/>
    </row>
    <row r="254" spans="10:10" x14ac:dyDescent="0.35">
      <c r="J254" s="99"/>
    </row>
    <row r="255" spans="10:10" x14ac:dyDescent="0.35">
      <c r="J255" s="99"/>
    </row>
    <row r="256" spans="10:10" x14ac:dyDescent="0.35">
      <c r="J256" s="99"/>
    </row>
    <row r="257" spans="10:10" x14ac:dyDescent="0.35">
      <c r="J257" s="99"/>
    </row>
    <row r="258" spans="10:10" x14ac:dyDescent="0.35">
      <c r="J258" s="99"/>
    </row>
    <row r="259" spans="10:10" x14ac:dyDescent="0.35">
      <c r="J259" s="99"/>
    </row>
    <row r="260" spans="10:10" x14ac:dyDescent="0.35">
      <c r="J260" s="99"/>
    </row>
    <row r="261" spans="10:10" x14ac:dyDescent="0.35">
      <c r="J261" s="99"/>
    </row>
    <row r="262" spans="10:10" x14ac:dyDescent="0.35">
      <c r="J262" s="99"/>
    </row>
    <row r="263" spans="10:10" x14ac:dyDescent="0.35">
      <c r="J263" s="99"/>
    </row>
    <row r="264" spans="10:10" x14ac:dyDescent="0.35">
      <c r="J264" s="99"/>
    </row>
    <row r="265" spans="10:10" x14ac:dyDescent="0.35">
      <c r="J265" s="99"/>
    </row>
    <row r="266" spans="10:10" x14ac:dyDescent="0.35">
      <c r="J266" s="99"/>
    </row>
    <row r="267" spans="10:10" x14ac:dyDescent="0.35">
      <c r="J267" s="99"/>
    </row>
    <row r="268" spans="10:10" x14ac:dyDescent="0.35">
      <c r="J268" s="99"/>
    </row>
    <row r="269" spans="10:10" x14ac:dyDescent="0.35">
      <c r="J269" s="99"/>
    </row>
    <row r="270" spans="10:10" x14ac:dyDescent="0.35">
      <c r="J270" s="99"/>
    </row>
    <row r="271" spans="10:10" x14ac:dyDescent="0.35">
      <c r="J271" s="99"/>
    </row>
    <row r="272" spans="10:10" x14ac:dyDescent="0.35">
      <c r="J272" s="99"/>
    </row>
    <row r="273" spans="10:10" x14ac:dyDescent="0.35">
      <c r="J273" s="99"/>
    </row>
    <row r="274" spans="10:10" x14ac:dyDescent="0.35">
      <c r="J274" s="99"/>
    </row>
    <row r="275" spans="10:10" x14ac:dyDescent="0.35">
      <c r="J275" s="99"/>
    </row>
    <row r="276" spans="10:10" x14ac:dyDescent="0.35">
      <c r="J276" s="99"/>
    </row>
    <row r="277" spans="10:10" x14ac:dyDescent="0.35">
      <c r="J277" s="99"/>
    </row>
    <row r="278" spans="10:10" x14ac:dyDescent="0.35">
      <c r="J278" s="99"/>
    </row>
    <row r="279" spans="10:10" x14ac:dyDescent="0.35">
      <c r="J279" s="99"/>
    </row>
    <row r="280" spans="10:10" x14ac:dyDescent="0.35">
      <c r="J280" s="99"/>
    </row>
    <row r="281" spans="10:10" x14ac:dyDescent="0.35">
      <c r="J281" s="99"/>
    </row>
    <row r="282" spans="10:10" x14ac:dyDescent="0.35">
      <c r="J282" s="99"/>
    </row>
    <row r="283" spans="10:10" x14ac:dyDescent="0.35">
      <c r="J283" s="99"/>
    </row>
    <row r="284" spans="10:10" x14ac:dyDescent="0.35">
      <c r="J284" s="99"/>
    </row>
    <row r="285" spans="10:10" x14ac:dyDescent="0.35">
      <c r="J285" s="99"/>
    </row>
    <row r="286" spans="10:10" x14ac:dyDescent="0.35">
      <c r="J286" s="99"/>
    </row>
    <row r="287" spans="10:10" x14ac:dyDescent="0.35">
      <c r="J287" s="99"/>
    </row>
    <row r="288" spans="10:10" x14ac:dyDescent="0.35">
      <c r="J288" s="99"/>
    </row>
    <row r="289" spans="10:10" x14ac:dyDescent="0.35">
      <c r="J289" s="99"/>
    </row>
    <row r="290" spans="10:10" x14ac:dyDescent="0.35">
      <c r="J290" s="99"/>
    </row>
  </sheetData>
  <sheetProtection sheet="1" objects="1" scenarios="1"/>
  <mergeCells count="22">
    <mergeCell ref="A232:A238"/>
    <mergeCell ref="B237:F237"/>
    <mergeCell ref="A125:A147"/>
    <mergeCell ref="B146:F146"/>
    <mergeCell ref="B181:F181"/>
    <mergeCell ref="A183:A231"/>
    <mergeCell ref="B230:F230"/>
    <mergeCell ref="A148:A182"/>
    <mergeCell ref="A10:G10"/>
    <mergeCell ref="F14:G14"/>
    <mergeCell ref="B28:F28"/>
    <mergeCell ref="A30:A124"/>
    <mergeCell ref="B123:F123"/>
    <mergeCell ref="A16:A29"/>
    <mergeCell ref="C14:D14"/>
    <mergeCell ref="A11:K11"/>
    <mergeCell ref="A9:G9"/>
    <mergeCell ref="A2:N2"/>
    <mergeCell ref="A5:G5"/>
    <mergeCell ref="A6:G6"/>
    <mergeCell ref="A7:G7"/>
    <mergeCell ref="A8:G8"/>
  </mergeCells>
  <pageMargins left="0.23622047244094491" right="0.23622047244094491" top="0.1" bottom="0.23622047244094491" header="0.11" footer="0.11811023622047245"/>
  <pageSetup paperSize="9" scale="43" firstPageNumber="30" fitToHeight="0" orientation="landscape" useFirstPageNumber="1" horizontalDpi="1200" verticalDpi="1200" r:id="rId1"/>
  <headerFooter>
    <oddFooter>&amp;C&amp;P/43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N293"/>
  <sheetViews>
    <sheetView view="pageLayout" topLeftCell="A107" zoomScale="40" zoomScaleNormal="70" zoomScalePageLayoutView="40" workbookViewId="0">
      <selection activeCell="N131" sqref="N131"/>
    </sheetView>
  </sheetViews>
  <sheetFormatPr defaultColWidth="9.1796875" defaultRowHeight="14.5" x14ac:dyDescent="0.35"/>
  <cols>
    <col min="1" max="1" width="5" style="43" customWidth="1"/>
    <col min="2" max="2" width="5.7265625" style="54" customWidth="1"/>
    <col min="3" max="3" width="5.81640625" style="6" customWidth="1"/>
    <col min="4" max="4" width="7" style="6" customWidth="1"/>
    <col min="5" max="5" width="3.7265625" style="6" customWidth="1"/>
    <col min="6" max="6" width="50.7265625" style="6" customWidth="1"/>
    <col min="7" max="7" width="20.26953125" style="6" customWidth="1"/>
    <col min="8" max="8" width="55.7265625" style="43" customWidth="1"/>
    <col min="9" max="11" width="13.7265625" style="43" customWidth="1"/>
    <col min="12" max="13" width="25.7265625" style="43" customWidth="1"/>
    <col min="14" max="14" width="85.7265625" style="43" customWidth="1"/>
    <col min="15" max="15" width="13.7265625" style="43" customWidth="1"/>
    <col min="16" max="16384" width="9.1796875" style="43"/>
  </cols>
  <sheetData>
    <row r="2" spans="1:14" s="151" customFormat="1" ht="35.15" customHeight="1" x14ac:dyDescent="0.35">
      <c r="A2" s="467" t="s">
        <v>755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</row>
    <row r="3" spans="1:14" s="151" customFormat="1" ht="10" customHeight="1" thickBot="1" x14ac:dyDescent="0.4">
      <c r="A3" s="264"/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156"/>
      <c r="M3" s="156"/>
      <c r="N3" s="156"/>
    </row>
    <row r="4" spans="1:14" ht="26.5" thickBot="1" x14ac:dyDescent="0.4">
      <c r="A4" s="242"/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153" t="s">
        <v>7</v>
      </c>
      <c r="M4" s="153" t="s">
        <v>8</v>
      </c>
      <c r="N4" s="152"/>
    </row>
    <row r="5" spans="1:14" ht="18.5" x14ac:dyDescent="0.35">
      <c r="A5" s="457" t="s">
        <v>55</v>
      </c>
      <c r="B5" s="458"/>
      <c r="C5" s="458"/>
      <c r="D5" s="458"/>
      <c r="E5" s="458"/>
      <c r="F5" s="458"/>
      <c r="G5" s="458"/>
      <c r="H5" s="243"/>
      <c r="I5" s="243"/>
      <c r="J5" s="243"/>
      <c r="K5" s="243"/>
      <c r="L5" s="154">
        <f>L27</f>
        <v>0</v>
      </c>
      <c r="M5" s="154">
        <f>M27</f>
        <v>0</v>
      </c>
      <c r="N5" s="152"/>
    </row>
    <row r="6" spans="1:14" ht="18.5" x14ac:dyDescent="0.35">
      <c r="A6" s="457" t="s">
        <v>37</v>
      </c>
      <c r="B6" s="458"/>
      <c r="C6" s="458"/>
      <c r="D6" s="458"/>
      <c r="E6" s="458"/>
      <c r="F6" s="458"/>
      <c r="G6" s="458"/>
      <c r="H6" s="243"/>
      <c r="I6" s="243"/>
      <c r="J6" s="243"/>
      <c r="K6" s="243"/>
      <c r="L6" s="154">
        <f>L116</f>
        <v>0</v>
      </c>
      <c r="M6" s="154">
        <f>M116</f>
        <v>0</v>
      </c>
      <c r="N6" s="152"/>
    </row>
    <row r="7" spans="1:14" ht="18.5" x14ac:dyDescent="0.35">
      <c r="A7" s="457" t="s">
        <v>43</v>
      </c>
      <c r="B7" s="458"/>
      <c r="C7" s="458"/>
      <c r="D7" s="458"/>
      <c r="E7" s="458"/>
      <c r="F7" s="458"/>
      <c r="G7" s="458"/>
      <c r="H7" s="243"/>
      <c r="I7" s="243"/>
      <c r="J7" s="243"/>
      <c r="K7" s="243"/>
      <c r="L7" s="154">
        <f>L135</f>
        <v>0</v>
      </c>
      <c r="M7" s="154">
        <f>M135</f>
        <v>0</v>
      </c>
      <c r="N7" s="152"/>
    </row>
    <row r="8" spans="1:14" ht="18.5" x14ac:dyDescent="0.35">
      <c r="A8" s="457" t="s">
        <v>45</v>
      </c>
      <c r="B8" s="458"/>
      <c r="C8" s="458"/>
      <c r="D8" s="458"/>
      <c r="E8" s="458"/>
      <c r="F8" s="458"/>
      <c r="G8" s="458"/>
      <c r="H8" s="243"/>
      <c r="I8" s="243"/>
      <c r="J8" s="243"/>
      <c r="K8" s="243"/>
      <c r="L8" s="154">
        <f>L162</f>
        <v>0</v>
      </c>
      <c r="M8" s="154">
        <f>M162</f>
        <v>0</v>
      </c>
      <c r="N8" s="152"/>
    </row>
    <row r="9" spans="1:14" ht="18.5" x14ac:dyDescent="0.35">
      <c r="A9" s="457" t="s">
        <v>56</v>
      </c>
      <c r="B9" s="458"/>
      <c r="C9" s="458"/>
      <c r="D9" s="458"/>
      <c r="E9" s="458"/>
      <c r="F9" s="458"/>
      <c r="G9" s="458"/>
      <c r="H9" s="243"/>
      <c r="I9" s="243"/>
      <c r="J9" s="243"/>
      <c r="K9" s="243"/>
      <c r="L9" s="154">
        <f>L196</f>
        <v>0</v>
      </c>
      <c r="M9" s="154">
        <f>M196</f>
        <v>0</v>
      </c>
      <c r="N9" s="152"/>
    </row>
    <row r="10" spans="1:14" ht="19" thickBot="1" x14ac:dyDescent="0.4">
      <c r="A10" s="457" t="s">
        <v>57</v>
      </c>
      <c r="B10" s="458"/>
      <c r="C10" s="458"/>
      <c r="D10" s="458"/>
      <c r="E10" s="458"/>
      <c r="F10" s="458"/>
      <c r="G10" s="458"/>
      <c r="H10" s="243"/>
      <c r="I10" s="243"/>
      <c r="J10" s="243"/>
      <c r="K10" s="243"/>
      <c r="L10" s="154">
        <f>L207</f>
        <v>0</v>
      </c>
      <c r="M10" s="154">
        <f>M207</f>
        <v>0</v>
      </c>
      <c r="N10" s="152"/>
    </row>
    <row r="11" spans="1:14" ht="26.5" thickBot="1" x14ac:dyDescent="0.4">
      <c r="A11" s="465" t="s">
        <v>469</v>
      </c>
      <c r="B11" s="458"/>
      <c r="C11" s="458"/>
      <c r="D11" s="458"/>
      <c r="E11" s="458"/>
      <c r="F11" s="458"/>
      <c r="G11" s="458"/>
      <c r="H11" s="458"/>
      <c r="I11" s="458"/>
      <c r="J11" s="458"/>
      <c r="K11" s="466"/>
      <c r="L11" s="155">
        <f>SUM(L5:L10)</f>
        <v>0</v>
      </c>
      <c r="M11" s="155">
        <f>SUM(M5:M10)</f>
        <v>0</v>
      </c>
      <c r="N11" s="152"/>
    </row>
    <row r="12" spans="1:14" ht="26" x14ac:dyDescent="0.35">
      <c r="A12" s="246"/>
      <c r="B12" s="247"/>
      <c r="C12" s="248"/>
      <c r="D12" s="248"/>
      <c r="E12" s="248"/>
      <c r="F12" s="248"/>
      <c r="G12" s="248"/>
      <c r="H12" s="248"/>
      <c r="I12" s="248"/>
      <c r="J12" s="248"/>
      <c r="K12" s="248"/>
    </row>
    <row r="13" spans="1:14" ht="19" thickBot="1" x14ac:dyDescent="0.4">
      <c r="C13" s="19"/>
      <c r="D13" s="19"/>
    </row>
    <row r="14" spans="1:14" s="1" customFormat="1" ht="30.75" customHeight="1" thickBot="1" x14ac:dyDescent="0.4">
      <c r="A14" s="27" t="s">
        <v>25</v>
      </c>
      <c r="B14" s="27" t="s">
        <v>26</v>
      </c>
      <c r="C14" s="464" t="s">
        <v>27</v>
      </c>
      <c r="D14" s="460"/>
      <c r="E14" s="5"/>
      <c r="F14" s="459" t="s">
        <v>11</v>
      </c>
      <c r="G14" s="460"/>
      <c r="H14" s="4" t="s">
        <v>48</v>
      </c>
      <c r="I14" s="4" t="s">
        <v>0</v>
      </c>
      <c r="J14" s="4" t="s">
        <v>1</v>
      </c>
      <c r="K14" s="4" t="s">
        <v>2</v>
      </c>
      <c r="L14" s="4" t="s">
        <v>7</v>
      </c>
      <c r="M14" s="4" t="s">
        <v>8</v>
      </c>
      <c r="N14" s="4" t="s">
        <v>3</v>
      </c>
    </row>
    <row r="15" spans="1:14" s="204" customFormat="1" ht="15" customHeight="1" thickBot="1" x14ac:dyDescent="0.4">
      <c r="A15" s="285"/>
      <c r="B15" s="286"/>
      <c r="C15" s="287"/>
      <c r="D15" s="287"/>
      <c r="E15" s="271"/>
      <c r="F15" s="288"/>
      <c r="G15" s="288"/>
      <c r="H15" s="288"/>
      <c r="I15" s="288"/>
      <c r="J15" s="288"/>
      <c r="K15" s="288"/>
      <c r="L15" s="288"/>
      <c r="M15" s="288"/>
      <c r="N15" s="288"/>
    </row>
    <row r="16" spans="1:14" ht="18.5" x14ac:dyDescent="0.35">
      <c r="A16" s="476" t="s">
        <v>41</v>
      </c>
      <c r="B16" s="55"/>
      <c r="C16" s="45"/>
      <c r="D16" s="45"/>
      <c r="E16" s="46"/>
      <c r="F16" s="47"/>
      <c r="G16" s="47"/>
      <c r="H16" s="44"/>
      <c r="I16" s="48"/>
      <c r="J16" s="92"/>
      <c r="K16" s="49"/>
      <c r="L16" s="49"/>
      <c r="M16" s="49"/>
      <c r="N16" s="146"/>
    </row>
    <row r="17" spans="1:14" ht="21" customHeight="1" x14ac:dyDescent="0.35">
      <c r="A17" s="462"/>
      <c r="B17" s="57">
        <v>228</v>
      </c>
      <c r="C17" s="35" t="s">
        <v>9</v>
      </c>
      <c r="D17" s="35" t="s">
        <v>116</v>
      </c>
      <c r="E17" s="36"/>
      <c r="F17" s="37" t="s">
        <v>22</v>
      </c>
      <c r="G17" s="10"/>
      <c r="H17" s="103" t="s">
        <v>391</v>
      </c>
      <c r="I17" s="68" t="s">
        <v>4</v>
      </c>
      <c r="J17" s="95">
        <f>62.28+34.49*2.96</f>
        <v>164.37040000000002</v>
      </c>
      <c r="K17" s="312">
        <v>0</v>
      </c>
      <c r="L17" s="141"/>
      <c r="M17" s="69">
        <f>K17*J17</f>
        <v>0</v>
      </c>
      <c r="N17" s="148" t="s">
        <v>632</v>
      </c>
    </row>
    <row r="18" spans="1:14" ht="21" customHeight="1" x14ac:dyDescent="0.35">
      <c r="A18" s="462"/>
      <c r="B18" s="56"/>
      <c r="C18" s="18"/>
      <c r="D18" s="18"/>
      <c r="E18" s="9"/>
      <c r="F18" s="25"/>
      <c r="G18" s="11"/>
      <c r="H18" s="103" t="s">
        <v>392</v>
      </c>
      <c r="I18" s="68" t="s">
        <v>4</v>
      </c>
      <c r="J18" s="95">
        <f>62.28+34.49*2.96</f>
        <v>164.37040000000002</v>
      </c>
      <c r="K18" s="312">
        <v>0</v>
      </c>
      <c r="L18" s="141"/>
      <c r="M18" s="69">
        <f>K18*J18</f>
        <v>0</v>
      </c>
      <c r="N18" s="148" t="s">
        <v>632</v>
      </c>
    </row>
    <row r="19" spans="1:14" ht="21" x14ac:dyDescent="0.35">
      <c r="A19" s="462"/>
      <c r="B19" s="56"/>
      <c r="C19" s="18"/>
      <c r="D19" s="18"/>
      <c r="E19" s="7"/>
      <c r="F19" s="25"/>
      <c r="G19" s="12"/>
      <c r="H19" s="103" t="s">
        <v>20</v>
      </c>
      <c r="I19" s="68" t="s">
        <v>4</v>
      </c>
      <c r="J19" s="95">
        <f>62.28</f>
        <v>62.28</v>
      </c>
      <c r="K19" s="312">
        <v>0</v>
      </c>
      <c r="L19" s="141"/>
      <c r="M19" s="69">
        <f>K19*J19</f>
        <v>0</v>
      </c>
      <c r="N19" s="148" t="s">
        <v>632</v>
      </c>
    </row>
    <row r="20" spans="1:14" ht="21" x14ac:dyDescent="0.35">
      <c r="A20" s="462"/>
      <c r="B20" s="56"/>
      <c r="C20" s="18"/>
      <c r="D20" s="18"/>
      <c r="E20" s="7"/>
      <c r="F20" s="25"/>
      <c r="G20" s="12"/>
      <c r="H20" s="103"/>
      <c r="I20" s="68"/>
      <c r="J20" s="95"/>
      <c r="K20" s="69"/>
      <c r="L20" s="69"/>
      <c r="M20" s="69"/>
      <c r="N20" s="169"/>
    </row>
    <row r="21" spans="1:14" ht="21" x14ac:dyDescent="0.35">
      <c r="A21" s="462"/>
      <c r="B21" s="57">
        <v>229</v>
      </c>
      <c r="C21" s="35" t="s">
        <v>9</v>
      </c>
      <c r="D21" s="35" t="s">
        <v>117</v>
      </c>
      <c r="E21" s="38"/>
      <c r="F21" s="39" t="s">
        <v>21</v>
      </c>
      <c r="G21" s="12"/>
      <c r="H21" s="103" t="s">
        <v>610</v>
      </c>
      <c r="I21" s="68" t="s">
        <v>6</v>
      </c>
      <c r="J21" s="95">
        <v>1</v>
      </c>
      <c r="K21" s="312">
        <v>0</v>
      </c>
      <c r="L21" s="141"/>
      <c r="M21" s="69">
        <f>K21*J21</f>
        <v>0</v>
      </c>
      <c r="N21" s="148"/>
    </row>
    <row r="22" spans="1:14" ht="21" x14ac:dyDescent="0.35">
      <c r="A22" s="462"/>
      <c r="B22" s="56"/>
      <c r="C22" s="18"/>
      <c r="D22" s="18"/>
      <c r="E22" s="7"/>
      <c r="F22" s="25"/>
      <c r="G22" s="12"/>
      <c r="H22" s="103"/>
      <c r="I22" s="68"/>
      <c r="J22" s="95"/>
      <c r="K22" s="69"/>
      <c r="L22" s="69"/>
      <c r="M22" s="69"/>
      <c r="N22" s="148"/>
    </row>
    <row r="23" spans="1:14" ht="18.5" x14ac:dyDescent="0.35">
      <c r="A23" s="462"/>
      <c r="B23" s="57">
        <v>230</v>
      </c>
      <c r="C23" s="35" t="s">
        <v>9</v>
      </c>
      <c r="D23" s="35" t="s">
        <v>118</v>
      </c>
      <c r="E23" s="40"/>
      <c r="F23" s="39" t="s">
        <v>96</v>
      </c>
      <c r="G23" s="13"/>
      <c r="H23" s="103" t="s">
        <v>399</v>
      </c>
      <c r="I23" s="68" t="s">
        <v>6</v>
      </c>
      <c r="J23" s="95">
        <v>1</v>
      </c>
      <c r="K23" s="312">
        <v>0</v>
      </c>
      <c r="L23" s="141"/>
      <c r="M23" s="69">
        <f>K23*J23</f>
        <v>0</v>
      </c>
      <c r="N23" s="148"/>
    </row>
    <row r="24" spans="1:14" ht="18.5" x14ac:dyDescent="0.35">
      <c r="A24" s="462"/>
      <c r="B24" s="59"/>
      <c r="C24" s="41"/>
      <c r="D24" s="41"/>
      <c r="E24" s="61"/>
      <c r="F24" s="62"/>
      <c r="G24" s="13"/>
      <c r="H24" s="103"/>
      <c r="I24" s="68"/>
      <c r="J24" s="95"/>
      <c r="K24" s="69"/>
      <c r="L24" s="69"/>
      <c r="M24" s="69"/>
      <c r="N24" s="148"/>
    </row>
    <row r="25" spans="1:14" ht="18.5" x14ac:dyDescent="0.35">
      <c r="A25" s="462"/>
      <c r="B25" s="57">
        <v>231</v>
      </c>
      <c r="C25" s="35" t="s">
        <v>9</v>
      </c>
      <c r="D25" s="35" t="s">
        <v>122</v>
      </c>
      <c r="E25" s="40"/>
      <c r="F25" s="39" t="s">
        <v>37</v>
      </c>
      <c r="G25" s="13"/>
      <c r="H25" s="103" t="s">
        <v>545</v>
      </c>
      <c r="I25" s="68" t="s">
        <v>6</v>
      </c>
      <c r="J25" s="95">
        <v>1</v>
      </c>
      <c r="K25" s="312">
        <v>0</v>
      </c>
      <c r="L25" s="141"/>
      <c r="M25" s="69">
        <f>K25*J25</f>
        <v>0</v>
      </c>
      <c r="N25" s="148"/>
    </row>
    <row r="26" spans="1:14" ht="19" thickBot="1" x14ac:dyDescent="0.4">
      <c r="A26" s="462"/>
      <c r="B26" s="56"/>
      <c r="C26" s="20"/>
      <c r="D26" s="20"/>
      <c r="E26" s="8"/>
      <c r="F26" s="26"/>
      <c r="G26" s="13"/>
      <c r="H26" s="103"/>
      <c r="I26" s="68"/>
      <c r="J26" s="95"/>
      <c r="K26" s="69"/>
      <c r="L26" s="69"/>
      <c r="M26" s="69"/>
      <c r="N26" s="148"/>
    </row>
    <row r="27" spans="1:14" ht="19" thickBot="1" x14ac:dyDescent="0.4">
      <c r="A27" s="462"/>
      <c r="B27" s="453" t="s">
        <v>13</v>
      </c>
      <c r="C27" s="454"/>
      <c r="D27" s="454"/>
      <c r="E27" s="454"/>
      <c r="F27" s="454"/>
      <c r="G27" s="140"/>
      <c r="H27" s="140" t="s">
        <v>459</v>
      </c>
      <c r="I27" s="50"/>
      <c r="J27" s="94"/>
      <c r="K27" s="51"/>
      <c r="L27" s="52">
        <f>SUM(L17:L25)</f>
        <v>0</v>
      </c>
      <c r="M27" s="53">
        <f>SUM(M17:M25)</f>
        <v>0</v>
      </c>
      <c r="N27" s="148"/>
    </row>
    <row r="28" spans="1:14" ht="19" thickBot="1" x14ac:dyDescent="0.4">
      <c r="A28" s="463"/>
      <c r="B28" s="58"/>
      <c r="C28" s="21"/>
      <c r="D28" s="21"/>
      <c r="E28" s="14"/>
      <c r="F28" s="15"/>
      <c r="G28" s="15"/>
      <c r="H28" s="16"/>
      <c r="I28" s="17"/>
      <c r="J28" s="96"/>
      <c r="K28" s="277"/>
      <c r="L28" s="278"/>
      <c r="M28" s="276"/>
      <c r="N28" s="148"/>
    </row>
    <row r="29" spans="1:14" ht="18.5" x14ac:dyDescent="0.35">
      <c r="A29" s="469" t="s">
        <v>40</v>
      </c>
      <c r="B29" s="56"/>
      <c r="C29" s="20"/>
      <c r="D29" s="20"/>
      <c r="E29" s="8"/>
      <c r="F29" s="13"/>
      <c r="G29" s="13"/>
      <c r="H29" s="141"/>
      <c r="I29" s="68"/>
      <c r="J29" s="95"/>
      <c r="K29" s="69"/>
      <c r="L29" s="69"/>
      <c r="M29" s="69"/>
      <c r="N29" s="146"/>
    </row>
    <row r="30" spans="1:14" ht="18.5" x14ac:dyDescent="0.35">
      <c r="A30" s="470"/>
      <c r="B30" s="57">
        <v>232</v>
      </c>
      <c r="C30" s="35" t="s">
        <v>14</v>
      </c>
      <c r="D30" s="35" t="s">
        <v>116</v>
      </c>
      <c r="E30" s="40"/>
      <c r="F30" s="160" t="s">
        <v>32</v>
      </c>
      <c r="G30" s="161" t="s">
        <v>17</v>
      </c>
      <c r="H30" s="103" t="s">
        <v>475</v>
      </c>
      <c r="I30" s="68" t="s">
        <v>5</v>
      </c>
      <c r="J30" s="95">
        <f>1.78*2+0.83*2</f>
        <v>5.22</v>
      </c>
      <c r="K30" s="312">
        <v>0</v>
      </c>
      <c r="L30" s="69">
        <f>K30*J30</f>
        <v>0</v>
      </c>
      <c r="M30" s="312">
        <v>0</v>
      </c>
      <c r="N30" s="148"/>
    </row>
    <row r="31" spans="1:14" ht="18.5" x14ac:dyDescent="0.35">
      <c r="A31" s="470"/>
      <c r="B31" s="56"/>
      <c r="C31" s="20"/>
      <c r="D31" s="20"/>
      <c r="E31" s="8"/>
      <c r="F31" s="13"/>
      <c r="G31" s="161"/>
      <c r="H31" s="103" t="s">
        <v>476</v>
      </c>
      <c r="I31" s="68" t="s">
        <v>5</v>
      </c>
      <c r="J31" s="95">
        <f>3*0.75</f>
        <v>2.25</v>
      </c>
      <c r="K31" s="312">
        <v>0</v>
      </c>
      <c r="L31" s="69">
        <f>K31*J31</f>
        <v>0</v>
      </c>
      <c r="M31" s="312">
        <v>0</v>
      </c>
      <c r="N31" s="148"/>
    </row>
    <row r="32" spans="1:14" x14ac:dyDescent="0.35">
      <c r="A32" s="470"/>
      <c r="B32" s="56"/>
      <c r="C32" s="8"/>
      <c r="D32" s="8"/>
      <c r="E32" s="8"/>
      <c r="F32" s="13"/>
      <c r="G32" s="161"/>
      <c r="H32" s="103" t="s">
        <v>707</v>
      </c>
      <c r="I32" s="68" t="s">
        <v>5</v>
      </c>
      <c r="J32" s="95">
        <f>3*0.75*0.03</f>
        <v>6.7500000000000004E-2</v>
      </c>
      <c r="K32" s="312">
        <v>0</v>
      </c>
      <c r="L32" s="69">
        <f>K32*J32</f>
        <v>0</v>
      </c>
      <c r="M32" s="312">
        <v>0</v>
      </c>
      <c r="N32" s="148"/>
    </row>
    <row r="33" spans="1:14" x14ac:dyDescent="0.35">
      <c r="A33" s="470"/>
      <c r="B33" s="56"/>
      <c r="C33" s="8"/>
      <c r="D33" s="8"/>
      <c r="E33" s="8"/>
      <c r="F33" s="13"/>
      <c r="G33" s="161"/>
      <c r="H33" s="103"/>
      <c r="I33" s="68"/>
      <c r="J33" s="95"/>
      <c r="K33" s="69"/>
      <c r="L33" s="69"/>
      <c r="M33" s="69"/>
      <c r="N33" s="148"/>
    </row>
    <row r="34" spans="1:14" x14ac:dyDescent="0.35">
      <c r="A34" s="470"/>
      <c r="B34" s="56"/>
      <c r="C34" s="8"/>
      <c r="D34" s="8"/>
      <c r="E34" s="8"/>
      <c r="F34" s="13"/>
      <c r="G34" s="161" t="s">
        <v>18</v>
      </c>
      <c r="H34" s="103" t="s">
        <v>498</v>
      </c>
      <c r="I34" s="68" t="s">
        <v>4</v>
      </c>
      <c r="J34" s="95">
        <f>J30*2*0.04*3+0.5</f>
        <v>1.7527999999999999</v>
      </c>
      <c r="K34" s="312">
        <v>0</v>
      </c>
      <c r="L34" s="69">
        <f>K34*J34</f>
        <v>0</v>
      </c>
      <c r="M34" s="312">
        <v>0</v>
      </c>
      <c r="N34" s="148" t="s">
        <v>519</v>
      </c>
    </row>
    <row r="35" spans="1:14" x14ac:dyDescent="0.35">
      <c r="A35" s="470"/>
      <c r="B35" s="56"/>
      <c r="C35" s="8"/>
      <c r="D35" s="8"/>
      <c r="E35" s="8"/>
      <c r="F35" s="13"/>
      <c r="G35" s="161"/>
      <c r="H35" s="103"/>
      <c r="I35" s="68"/>
      <c r="J35" s="95"/>
      <c r="K35" s="69"/>
      <c r="L35" s="69"/>
      <c r="M35" s="69"/>
      <c r="N35" s="148"/>
    </row>
    <row r="36" spans="1:14" x14ac:dyDescent="0.35">
      <c r="A36" s="470"/>
      <c r="B36" s="56"/>
      <c r="C36" s="8"/>
      <c r="D36" s="8"/>
      <c r="E36" s="8"/>
      <c r="F36" s="13"/>
      <c r="G36" s="161" t="s">
        <v>19</v>
      </c>
      <c r="H36" s="103" t="s">
        <v>770</v>
      </c>
      <c r="I36" s="68" t="s">
        <v>4</v>
      </c>
      <c r="J36" s="95">
        <f>0.79*0.79</f>
        <v>0.6241000000000001</v>
      </c>
      <c r="K36" s="312">
        <v>0</v>
      </c>
      <c r="L36" s="69">
        <f>K36*J36</f>
        <v>0</v>
      </c>
      <c r="M36" s="312">
        <v>0</v>
      </c>
      <c r="N36" s="148"/>
    </row>
    <row r="37" spans="1:14" x14ac:dyDescent="0.35">
      <c r="A37" s="470"/>
      <c r="B37" s="56"/>
      <c r="C37" s="8"/>
      <c r="D37" s="8"/>
      <c r="E37" s="8"/>
      <c r="F37" s="13"/>
      <c r="G37" s="13"/>
      <c r="H37" s="103"/>
      <c r="I37" s="68"/>
      <c r="J37" s="95"/>
      <c r="K37" s="69"/>
      <c r="L37" s="69"/>
      <c r="M37" s="69"/>
      <c r="N37" s="148"/>
    </row>
    <row r="38" spans="1:14" ht="15.5" x14ac:dyDescent="0.35">
      <c r="A38" s="470"/>
      <c r="B38" s="76"/>
      <c r="C38" s="77"/>
      <c r="D38" s="77"/>
      <c r="E38" s="77"/>
      <c r="F38" s="30"/>
      <c r="G38" s="31"/>
      <c r="H38" s="32" t="s">
        <v>459</v>
      </c>
      <c r="I38" s="33"/>
      <c r="J38" s="98"/>
      <c r="K38" s="34"/>
      <c r="L38" s="137">
        <f>SUM(L30:L36)</f>
        <v>0</v>
      </c>
      <c r="M38" s="137">
        <f>SUM(M30:M36)</f>
        <v>0</v>
      </c>
      <c r="N38" s="148"/>
    </row>
    <row r="39" spans="1:14" x14ac:dyDescent="0.35">
      <c r="A39" s="470"/>
      <c r="B39" s="56"/>
      <c r="C39" s="8"/>
      <c r="D39" s="8"/>
      <c r="E39" s="8"/>
      <c r="F39" s="28"/>
      <c r="G39" s="28"/>
      <c r="H39" s="29"/>
      <c r="I39" s="29"/>
      <c r="J39" s="97"/>
      <c r="K39" s="29"/>
      <c r="L39" s="29"/>
      <c r="M39" s="29"/>
      <c r="N39" s="148"/>
    </row>
    <row r="40" spans="1:14" ht="18.5" x14ac:dyDescent="0.35">
      <c r="A40" s="470"/>
      <c r="B40" s="57">
        <v>233</v>
      </c>
      <c r="C40" s="35" t="s">
        <v>14</v>
      </c>
      <c r="D40" s="35" t="s">
        <v>117</v>
      </c>
      <c r="E40" s="40"/>
      <c r="F40" s="160" t="s">
        <v>94</v>
      </c>
      <c r="G40" s="161" t="s">
        <v>16</v>
      </c>
      <c r="H40" s="103" t="s">
        <v>594</v>
      </c>
      <c r="I40" s="68" t="s">
        <v>4</v>
      </c>
      <c r="J40" s="95">
        <f>4*0.295*0.05</f>
        <v>5.8999999999999997E-2</v>
      </c>
      <c r="K40" s="312">
        <v>0</v>
      </c>
      <c r="L40" s="69">
        <f>K40*J40</f>
        <v>0</v>
      </c>
      <c r="M40" s="312">
        <v>0</v>
      </c>
      <c r="N40" s="148"/>
    </row>
    <row r="41" spans="1:14" ht="18.5" x14ac:dyDescent="0.35">
      <c r="A41" s="470"/>
      <c r="B41" s="249"/>
      <c r="C41" s="259"/>
      <c r="D41" s="259"/>
      <c r="E41" s="251"/>
      <c r="F41" s="241"/>
      <c r="G41" s="161"/>
      <c r="H41" s="103" t="s">
        <v>497</v>
      </c>
      <c r="I41" s="68" t="s">
        <v>4</v>
      </c>
      <c r="J41" s="95">
        <f>(1.95+2.5+3.2)*2*0.06</f>
        <v>0.91800000000000004</v>
      </c>
      <c r="K41" s="312">
        <v>0</v>
      </c>
      <c r="L41" s="69">
        <f>K41*J41</f>
        <v>0</v>
      </c>
      <c r="M41" s="312">
        <v>0</v>
      </c>
      <c r="N41" s="148" t="s">
        <v>606</v>
      </c>
    </row>
    <row r="42" spans="1:14" ht="18.5" x14ac:dyDescent="0.35">
      <c r="A42" s="470"/>
      <c r="B42" s="56"/>
      <c r="C42" s="20"/>
      <c r="D42" s="20"/>
      <c r="E42" s="8"/>
      <c r="F42" s="13"/>
      <c r="G42" s="161"/>
      <c r="H42" s="103" t="s">
        <v>502</v>
      </c>
      <c r="I42" s="68" t="s">
        <v>4</v>
      </c>
      <c r="J42" s="95">
        <f>(1.95+2.5)*3.2</f>
        <v>14.240000000000002</v>
      </c>
      <c r="K42" s="312">
        <v>0</v>
      </c>
      <c r="L42" s="69">
        <f>K42*J42</f>
        <v>0</v>
      </c>
      <c r="M42" s="312">
        <v>0</v>
      </c>
      <c r="N42" s="148" t="s">
        <v>606</v>
      </c>
    </row>
    <row r="43" spans="1:14" x14ac:dyDescent="0.35">
      <c r="A43" s="470"/>
      <c r="B43" s="56"/>
      <c r="C43" s="8"/>
      <c r="D43" s="8"/>
      <c r="E43" s="8"/>
      <c r="F43" s="13"/>
      <c r="G43" s="161"/>
      <c r="H43" s="103"/>
      <c r="I43" s="68"/>
      <c r="J43" s="95"/>
      <c r="K43" s="69"/>
      <c r="L43" s="69"/>
      <c r="M43" s="69"/>
      <c r="N43" s="148"/>
    </row>
    <row r="44" spans="1:14" x14ac:dyDescent="0.35">
      <c r="A44" s="470"/>
      <c r="B44" s="56"/>
      <c r="C44" s="8"/>
      <c r="D44" s="8"/>
      <c r="E44" s="8"/>
      <c r="F44" s="13"/>
      <c r="G44" s="161" t="s">
        <v>17</v>
      </c>
      <c r="H44" s="103" t="s">
        <v>457</v>
      </c>
      <c r="I44" s="68" t="s">
        <v>5</v>
      </c>
      <c r="J44" s="95">
        <f>((2.5*2+3*1.1)*3)+((1.95*2+3*1.1)*3)+10*0.04</f>
        <v>46.9</v>
      </c>
      <c r="K44" s="312">
        <v>0</v>
      </c>
      <c r="L44" s="69">
        <f>K44*J44</f>
        <v>0</v>
      </c>
      <c r="M44" s="312">
        <v>0</v>
      </c>
      <c r="N44" s="148"/>
    </row>
    <row r="45" spans="1:14" x14ac:dyDescent="0.35">
      <c r="A45" s="470"/>
      <c r="B45" s="56"/>
      <c r="C45" s="8"/>
      <c r="D45" s="8"/>
      <c r="E45" s="8"/>
      <c r="F45" s="13"/>
      <c r="G45" s="161"/>
      <c r="H45" s="103" t="s">
        <v>36</v>
      </c>
      <c r="I45" s="68" t="s">
        <v>5</v>
      </c>
      <c r="J45" s="95">
        <v>2</v>
      </c>
      <c r="K45" s="312">
        <v>0</v>
      </c>
      <c r="L45" s="69">
        <f>K45*J45</f>
        <v>0</v>
      </c>
      <c r="M45" s="312">
        <v>0</v>
      </c>
      <c r="N45" s="148"/>
    </row>
    <row r="46" spans="1:14" x14ac:dyDescent="0.35">
      <c r="A46" s="470"/>
      <c r="B46" s="56"/>
      <c r="C46" s="8"/>
      <c r="D46" s="8"/>
      <c r="E46" s="8"/>
      <c r="F46" s="13"/>
      <c r="G46" s="161"/>
      <c r="H46" s="103" t="s">
        <v>618</v>
      </c>
      <c r="I46" s="68" t="s">
        <v>5</v>
      </c>
      <c r="J46" s="95">
        <f>J40</f>
        <v>5.8999999999999997E-2</v>
      </c>
      <c r="K46" s="312">
        <v>0</v>
      </c>
      <c r="L46" s="69">
        <f>K46*J46</f>
        <v>0</v>
      </c>
      <c r="M46" s="312">
        <v>0</v>
      </c>
      <c r="N46" s="148"/>
    </row>
    <row r="47" spans="1:14" x14ac:dyDescent="0.35">
      <c r="A47" s="470"/>
      <c r="B47" s="56"/>
      <c r="C47" s="8"/>
      <c r="D47" s="8"/>
      <c r="E47" s="8"/>
      <c r="F47" s="13"/>
      <c r="G47" s="161"/>
      <c r="H47" s="103"/>
      <c r="I47" s="68"/>
      <c r="J47" s="95"/>
      <c r="K47" s="69"/>
      <c r="L47" s="69"/>
      <c r="M47" s="69"/>
      <c r="N47" s="148"/>
    </row>
    <row r="48" spans="1:14" x14ac:dyDescent="0.35">
      <c r="A48" s="470"/>
      <c r="B48" s="56"/>
      <c r="C48" s="8"/>
      <c r="D48" s="8"/>
      <c r="E48" s="8"/>
      <c r="F48" s="13"/>
      <c r="G48" s="161" t="s">
        <v>18</v>
      </c>
      <c r="H48" s="103" t="s">
        <v>35</v>
      </c>
      <c r="I48" s="68" t="s">
        <v>4</v>
      </c>
      <c r="J48" s="95">
        <f>J42+J41</f>
        <v>15.158000000000001</v>
      </c>
      <c r="K48" s="312">
        <v>0</v>
      </c>
      <c r="L48" s="69">
        <f>K48*J48</f>
        <v>0</v>
      </c>
      <c r="M48" s="312">
        <v>0</v>
      </c>
      <c r="N48" s="148" t="s">
        <v>519</v>
      </c>
    </row>
    <row r="49" spans="1:14" x14ac:dyDescent="0.35">
      <c r="A49" s="470"/>
      <c r="B49" s="56"/>
      <c r="C49" s="8"/>
      <c r="D49" s="8"/>
      <c r="E49" s="8"/>
      <c r="F49" s="13"/>
      <c r="G49" s="161"/>
      <c r="H49" s="103"/>
      <c r="I49" s="68"/>
      <c r="J49" s="95"/>
      <c r="K49" s="69"/>
      <c r="L49" s="69"/>
      <c r="M49" s="69"/>
      <c r="N49" s="148"/>
    </row>
    <row r="50" spans="1:14" x14ac:dyDescent="0.35">
      <c r="A50" s="470"/>
      <c r="B50" s="56"/>
      <c r="C50" s="8"/>
      <c r="D50" s="8"/>
      <c r="E50" s="8"/>
      <c r="F50" s="13"/>
      <c r="G50" s="13" t="s">
        <v>28</v>
      </c>
      <c r="H50" s="103" t="s">
        <v>536</v>
      </c>
      <c r="I50" s="68" t="s">
        <v>6</v>
      </c>
      <c r="J50" s="95">
        <v>10</v>
      </c>
      <c r="K50" s="312">
        <v>0</v>
      </c>
      <c r="L50" s="69">
        <f>K50*J50</f>
        <v>0</v>
      </c>
      <c r="M50" s="312">
        <v>0</v>
      </c>
      <c r="N50" s="148"/>
    </row>
    <row r="51" spans="1:14" x14ac:dyDescent="0.35">
      <c r="A51" s="470"/>
      <c r="B51" s="56"/>
      <c r="C51" s="8"/>
      <c r="D51" s="8"/>
      <c r="E51" s="8"/>
      <c r="F51" s="13"/>
      <c r="G51" s="13"/>
      <c r="H51" s="103"/>
      <c r="I51" s="68"/>
      <c r="J51" s="95"/>
      <c r="K51" s="69"/>
      <c r="L51" s="69"/>
      <c r="M51" s="69"/>
      <c r="N51" s="148"/>
    </row>
    <row r="52" spans="1:14" ht="15.5" x14ac:dyDescent="0.35">
      <c r="A52" s="470"/>
      <c r="B52" s="76"/>
      <c r="C52" s="77"/>
      <c r="D52" s="77"/>
      <c r="E52" s="77"/>
      <c r="F52" s="30"/>
      <c r="G52" s="31"/>
      <c r="H52" s="32" t="s">
        <v>459</v>
      </c>
      <c r="I52" s="33"/>
      <c r="J52" s="98"/>
      <c r="K52" s="34"/>
      <c r="L52" s="137">
        <f>SUM(L40:L50)</f>
        <v>0</v>
      </c>
      <c r="M52" s="137">
        <f>SUM(M40:M50)</f>
        <v>0</v>
      </c>
      <c r="N52" s="148"/>
    </row>
    <row r="53" spans="1:14" x14ac:dyDescent="0.35">
      <c r="A53" s="470"/>
      <c r="B53" s="56"/>
      <c r="C53" s="8"/>
      <c r="D53" s="8"/>
      <c r="E53" s="8"/>
      <c r="F53" s="28"/>
      <c r="G53" s="28"/>
      <c r="H53" s="29"/>
      <c r="I53" s="29"/>
      <c r="J53" s="97"/>
      <c r="K53" s="29"/>
      <c r="L53" s="29"/>
      <c r="M53" s="29"/>
      <c r="N53" s="148"/>
    </row>
    <row r="54" spans="1:14" ht="18.5" x14ac:dyDescent="0.35">
      <c r="A54" s="470"/>
      <c r="B54" s="57">
        <v>234</v>
      </c>
      <c r="C54" s="35" t="s">
        <v>14</v>
      </c>
      <c r="D54" s="35" t="s">
        <v>118</v>
      </c>
      <c r="E54" s="40"/>
      <c r="F54" s="160" t="s">
        <v>94</v>
      </c>
      <c r="G54" s="161" t="s">
        <v>16</v>
      </c>
      <c r="H54" s="103" t="s">
        <v>594</v>
      </c>
      <c r="I54" s="68" t="s">
        <v>4</v>
      </c>
      <c r="J54" s="95">
        <f>4*0.295*0.05</f>
        <v>5.8999999999999997E-2</v>
      </c>
      <c r="K54" s="312">
        <v>0</v>
      </c>
      <c r="L54" s="69">
        <f>K54*J54</f>
        <v>0</v>
      </c>
      <c r="M54" s="312">
        <v>0</v>
      </c>
      <c r="N54" s="148"/>
    </row>
    <row r="55" spans="1:14" ht="18.5" x14ac:dyDescent="0.35">
      <c r="A55" s="470"/>
      <c r="B55" s="249"/>
      <c r="C55" s="259"/>
      <c r="D55" s="259"/>
      <c r="E55" s="251"/>
      <c r="F55" s="241"/>
      <c r="G55" s="161"/>
      <c r="H55" s="103" t="s">
        <v>497</v>
      </c>
      <c r="I55" s="68" t="s">
        <v>4</v>
      </c>
      <c r="J55" s="95">
        <f>(1.95+2.5+4.2)*2*0.06</f>
        <v>1.038</v>
      </c>
      <c r="K55" s="312">
        <v>0</v>
      </c>
      <c r="L55" s="69">
        <f>K55*J55</f>
        <v>0</v>
      </c>
      <c r="M55" s="312">
        <v>0</v>
      </c>
      <c r="N55" s="148" t="s">
        <v>606</v>
      </c>
    </row>
    <row r="56" spans="1:14" ht="18.5" x14ac:dyDescent="0.35">
      <c r="A56" s="470"/>
      <c r="B56" s="56"/>
      <c r="C56" s="20"/>
      <c r="D56" s="20"/>
      <c r="E56" s="8"/>
      <c r="F56" s="13"/>
      <c r="G56" s="161"/>
      <c r="H56" s="103" t="s">
        <v>502</v>
      </c>
      <c r="I56" s="68" t="s">
        <v>4</v>
      </c>
      <c r="J56" s="95">
        <f>(1.95+2.5)*4.2</f>
        <v>18.690000000000001</v>
      </c>
      <c r="K56" s="312">
        <v>0</v>
      </c>
      <c r="L56" s="69">
        <f>K56*J56</f>
        <v>0</v>
      </c>
      <c r="M56" s="312">
        <v>0</v>
      </c>
      <c r="N56" s="148" t="s">
        <v>606</v>
      </c>
    </row>
    <row r="57" spans="1:14" x14ac:dyDescent="0.35">
      <c r="A57" s="470"/>
      <c r="B57" s="56"/>
      <c r="C57" s="8"/>
      <c r="D57" s="8"/>
      <c r="E57" s="8"/>
      <c r="F57" s="13"/>
      <c r="G57" s="161"/>
      <c r="H57" s="103"/>
      <c r="I57" s="68"/>
      <c r="J57" s="95"/>
      <c r="K57" s="69"/>
      <c r="L57" s="69"/>
      <c r="M57" s="69"/>
      <c r="N57" s="148"/>
    </row>
    <row r="58" spans="1:14" x14ac:dyDescent="0.35">
      <c r="A58" s="470"/>
      <c r="B58" s="56"/>
      <c r="C58" s="8"/>
      <c r="D58" s="8"/>
      <c r="E58" s="8"/>
      <c r="F58" s="13"/>
      <c r="G58" s="161" t="s">
        <v>17</v>
      </c>
      <c r="H58" s="103" t="s">
        <v>457</v>
      </c>
      <c r="I58" s="68" t="s">
        <v>5</v>
      </c>
      <c r="J58" s="95">
        <f>((2.5*2+3*1.1)*4)+((1.95*2+3*1.1)*4)+13*0.04</f>
        <v>62.52</v>
      </c>
      <c r="K58" s="312">
        <v>0</v>
      </c>
      <c r="L58" s="69">
        <f>K58*J58</f>
        <v>0</v>
      </c>
      <c r="M58" s="312">
        <v>0</v>
      </c>
      <c r="N58" s="148"/>
    </row>
    <row r="59" spans="1:14" x14ac:dyDescent="0.35">
      <c r="A59" s="470"/>
      <c r="B59" s="56"/>
      <c r="C59" s="8"/>
      <c r="D59" s="8"/>
      <c r="E59" s="8"/>
      <c r="F59" s="13"/>
      <c r="G59" s="161"/>
      <c r="H59" s="103" t="s">
        <v>36</v>
      </c>
      <c r="I59" s="68" t="s">
        <v>5</v>
      </c>
      <c r="J59" s="95">
        <v>2</v>
      </c>
      <c r="K59" s="312">
        <v>0</v>
      </c>
      <c r="L59" s="69">
        <f>K59*J59</f>
        <v>0</v>
      </c>
      <c r="M59" s="312">
        <v>0</v>
      </c>
      <c r="N59" s="148"/>
    </row>
    <row r="60" spans="1:14" x14ac:dyDescent="0.35">
      <c r="A60" s="470"/>
      <c r="B60" s="56"/>
      <c r="C60" s="8"/>
      <c r="D60" s="8"/>
      <c r="E60" s="8"/>
      <c r="F60" s="13"/>
      <c r="G60" s="161"/>
      <c r="H60" s="103" t="s">
        <v>618</v>
      </c>
      <c r="I60" s="68" t="s">
        <v>5</v>
      </c>
      <c r="J60" s="95">
        <f>J54</f>
        <v>5.8999999999999997E-2</v>
      </c>
      <c r="K60" s="312">
        <v>0</v>
      </c>
      <c r="L60" s="69">
        <f>K60*J60</f>
        <v>0</v>
      </c>
      <c r="M60" s="312">
        <v>0</v>
      </c>
      <c r="N60" s="148"/>
    </row>
    <row r="61" spans="1:14" x14ac:dyDescent="0.35">
      <c r="A61" s="470"/>
      <c r="B61" s="56"/>
      <c r="C61" s="8"/>
      <c r="D61" s="8"/>
      <c r="E61" s="8"/>
      <c r="F61" s="13"/>
      <c r="G61" s="161"/>
      <c r="H61" s="103"/>
      <c r="I61" s="68"/>
      <c r="J61" s="95"/>
      <c r="K61" s="69"/>
      <c r="L61" s="69"/>
      <c r="M61" s="69"/>
      <c r="N61" s="148"/>
    </row>
    <row r="62" spans="1:14" x14ac:dyDescent="0.35">
      <c r="A62" s="470"/>
      <c r="B62" s="56"/>
      <c r="C62" s="8"/>
      <c r="D62" s="8"/>
      <c r="E62" s="8"/>
      <c r="F62" s="13"/>
      <c r="G62" s="161" t="s">
        <v>18</v>
      </c>
      <c r="H62" s="103" t="s">
        <v>35</v>
      </c>
      <c r="I62" s="68" t="s">
        <v>4</v>
      </c>
      <c r="J62" s="95">
        <f>J56+J55</f>
        <v>19.728000000000002</v>
      </c>
      <c r="K62" s="312">
        <v>0</v>
      </c>
      <c r="L62" s="69">
        <f>K62*J62</f>
        <v>0</v>
      </c>
      <c r="M62" s="312">
        <v>0</v>
      </c>
      <c r="N62" s="148" t="s">
        <v>519</v>
      </c>
    </row>
    <row r="63" spans="1:14" x14ac:dyDescent="0.35">
      <c r="A63" s="470"/>
      <c r="B63" s="56"/>
      <c r="C63" s="8"/>
      <c r="D63" s="8"/>
      <c r="E63" s="8"/>
      <c r="F63" s="13"/>
      <c r="G63" s="161"/>
      <c r="H63" s="103"/>
      <c r="I63" s="68"/>
      <c r="J63" s="95"/>
      <c r="K63" s="69"/>
      <c r="L63" s="69"/>
      <c r="M63" s="69"/>
      <c r="N63" s="148"/>
    </row>
    <row r="64" spans="1:14" x14ac:dyDescent="0.35">
      <c r="A64" s="470"/>
      <c r="B64" s="56"/>
      <c r="C64" s="8"/>
      <c r="D64" s="8"/>
      <c r="E64" s="8"/>
      <c r="F64" s="13"/>
      <c r="G64" s="13" t="s">
        <v>28</v>
      </c>
      <c r="H64" s="103" t="s">
        <v>536</v>
      </c>
      <c r="I64" s="68" t="s">
        <v>6</v>
      </c>
      <c r="J64" s="95">
        <v>13</v>
      </c>
      <c r="K64" s="312">
        <v>0</v>
      </c>
      <c r="L64" s="69">
        <f>K64*J64</f>
        <v>0</v>
      </c>
      <c r="M64" s="312">
        <v>0</v>
      </c>
      <c r="N64" s="148"/>
    </row>
    <row r="65" spans="1:14" x14ac:dyDescent="0.35">
      <c r="A65" s="470"/>
      <c r="B65" s="56"/>
      <c r="C65" s="8"/>
      <c r="D65" s="8"/>
      <c r="E65" s="8"/>
      <c r="F65" s="13"/>
      <c r="G65" s="13"/>
      <c r="H65" s="103"/>
      <c r="I65" s="68"/>
      <c r="J65" s="95"/>
      <c r="K65" s="69"/>
      <c r="L65" s="69"/>
      <c r="M65" s="69"/>
      <c r="N65" s="148"/>
    </row>
    <row r="66" spans="1:14" ht="15.5" x14ac:dyDescent="0.35">
      <c r="A66" s="470"/>
      <c r="B66" s="76"/>
      <c r="C66" s="77"/>
      <c r="D66" s="77"/>
      <c r="E66" s="77"/>
      <c r="F66" s="30"/>
      <c r="G66" s="31"/>
      <c r="H66" s="32" t="s">
        <v>459</v>
      </c>
      <c r="I66" s="33"/>
      <c r="J66" s="98"/>
      <c r="K66" s="34"/>
      <c r="L66" s="137">
        <f>SUM(L54:L64)</f>
        <v>0</v>
      </c>
      <c r="M66" s="137">
        <f>SUM(M54:M64)</f>
        <v>0</v>
      </c>
      <c r="N66" s="148"/>
    </row>
    <row r="67" spans="1:14" x14ac:dyDescent="0.35">
      <c r="A67" s="470"/>
      <c r="B67" s="106"/>
      <c r="C67" s="107"/>
      <c r="D67" s="107"/>
      <c r="E67" s="107"/>
      <c r="F67" s="107"/>
      <c r="G67" s="107"/>
      <c r="H67" s="108"/>
      <c r="I67" s="108"/>
      <c r="J67" s="109"/>
      <c r="K67" s="108"/>
      <c r="L67" s="108"/>
      <c r="M67" s="108"/>
      <c r="N67" s="148"/>
    </row>
    <row r="68" spans="1:14" ht="18.5" x14ac:dyDescent="0.35">
      <c r="A68" s="470"/>
      <c r="B68" s="110"/>
      <c r="C68" s="35" t="s">
        <v>14</v>
      </c>
      <c r="D68" s="35" t="s">
        <v>122</v>
      </c>
      <c r="E68" s="111"/>
      <c r="F68" s="160" t="s">
        <v>769</v>
      </c>
      <c r="G68" s="161" t="s">
        <v>16</v>
      </c>
      <c r="H68" s="113"/>
      <c r="I68" s="114"/>
      <c r="J68" s="115"/>
      <c r="K68" s="116"/>
      <c r="L68" s="69"/>
      <c r="M68" s="69"/>
      <c r="N68" s="219"/>
    </row>
    <row r="69" spans="1:14" ht="18.5" x14ac:dyDescent="0.35">
      <c r="A69" s="470"/>
      <c r="B69" s="272"/>
      <c r="C69" s="273"/>
      <c r="D69" s="273"/>
      <c r="E69" s="274"/>
      <c r="F69" s="275"/>
      <c r="G69" s="161"/>
      <c r="H69" s="113"/>
      <c r="I69" s="114"/>
      <c r="J69" s="115"/>
      <c r="K69" s="116"/>
      <c r="L69" s="69"/>
      <c r="M69" s="69"/>
      <c r="N69" s="148"/>
    </row>
    <row r="70" spans="1:14" ht="18.5" x14ac:dyDescent="0.35">
      <c r="A70" s="470"/>
      <c r="B70" s="117"/>
      <c r="C70" s="118"/>
      <c r="D70" s="118"/>
      <c r="E70" s="119"/>
      <c r="F70" s="112"/>
      <c r="G70" s="161"/>
      <c r="H70" s="113"/>
      <c r="I70" s="114"/>
      <c r="J70" s="115"/>
      <c r="K70" s="116"/>
      <c r="L70" s="69"/>
      <c r="M70" s="69"/>
      <c r="N70" s="148"/>
    </row>
    <row r="71" spans="1:14" x14ac:dyDescent="0.35">
      <c r="A71" s="470"/>
      <c r="B71" s="117"/>
      <c r="C71" s="119"/>
      <c r="D71" s="119"/>
      <c r="E71" s="119"/>
      <c r="F71" s="112"/>
      <c r="G71" s="161" t="s">
        <v>17</v>
      </c>
      <c r="H71" s="113"/>
      <c r="I71" s="114"/>
      <c r="J71" s="115"/>
      <c r="K71" s="116"/>
      <c r="L71" s="69"/>
      <c r="M71" s="69"/>
      <c r="N71" s="148"/>
    </row>
    <row r="72" spans="1:14" x14ac:dyDescent="0.35">
      <c r="A72" s="470"/>
      <c r="B72" s="117"/>
      <c r="C72" s="119"/>
      <c r="D72" s="119"/>
      <c r="E72" s="119"/>
      <c r="F72" s="112"/>
      <c r="G72" s="161"/>
      <c r="H72" s="113"/>
      <c r="I72" s="114"/>
      <c r="J72" s="115"/>
      <c r="K72" s="116"/>
      <c r="L72" s="69"/>
      <c r="M72" s="69"/>
      <c r="N72" s="148"/>
    </row>
    <row r="73" spans="1:14" x14ac:dyDescent="0.35">
      <c r="A73" s="470"/>
      <c r="B73" s="117"/>
      <c r="C73" s="119"/>
      <c r="D73" s="119"/>
      <c r="E73" s="119"/>
      <c r="F73" s="112"/>
      <c r="G73" s="161"/>
      <c r="H73" s="113"/>
      <c r="I73" s="114"/>
      <c r="J73" s="115"/>
      <c r="K73" s="116"/>
      <c r="L73" s="69"/>
      <c r="M73" s="69"/>
      <c r="N73" s="148"/>
    </row>
    <row r="74" spans="1:14" x14ac:dyDescent="0.35">
      <c r="A74" s="470"/>
      <c r="B74" s="117"/>
      <c r="C74" s="119"/>
      <c r="D74" s="119"/>
      <c r="E74" s="119"/>
      <c r="F74" s="112"/>
      <c r="G74" s="161"/>
      <c r="H74" s="113"/>
      <c r="I74" s="114"/>
      <c r="J74" s="115"/>
      <c r="K74" s="116"/>
      <c r="L74" s="69"/>
      <c r="M74" s="69"/>
      <c r="N74" s="148"/>
    </row>
    <row r="75" spans="1:14" x14ac:dyDescent="0.35">
      <c r="A75" s="470"/>
      <c r="B75" s="117"/>
      <c r="C75" s="119"/>
      <c r="D75" s="119"/>
      <c r="E75" s="119"/>
      <c r="F75" s="112"/>
      <c r="G75" s="161"/>
      <c r="H75" s="113"/>
      <c r="I75" s="114"/>
      <c r="J75" s="115"/>
      <c r="K75" s="116"/>
      <c r="L75" s="69"/>
      <c r="M75" s="69"/>
      <c r="N75" s="148"/>
    </row>
    <row r="76" spans="1:14" x14ac:dyDescent="0.35">
      <c r="A76" s="470"/>
      <c r="B76" s="117"/>
      <c r="C76" s="119"/>
      <c r="D76" s="119"/>
      <c r="E76" s="119"/>
      <c r="F76" s="112"/>
      <c r="G76" s="161" t="s">
        <v>18</v>
      </c>
      <c r="H76" s="113"/>
      <c r="I76" s="114"/>
      <c r="J76" s="115"/>
      <c r="K76" s="116"/>
      <c r="L76" s="69"/>
      <c r="M76" s="69"/>
      <c r="N76" s="148"/>
    </row>
    <row r="77" spans="1:14" x14ac:dyDescent="0.35">
      <c r="A77" s="470"/>
      <c r="B77" s="117"/>
      <c r="C77" s="119"/>
      <c r="D77" s="119"/>
      <c r="E77" s="119"/>
      <c r="F77" s="112"/>
      <c r="G77" s="161"/>
      <c r="H77" s="113"/>
      <c r="I77" s="114"/>
      <c r="J77" s="115"/>
      <c r="K77" s="116"/>
      <c r="L77" s="69"/>
      <c r="M77" s="69"/>
      <c r="N77" s="148"/>
    </row>
    <row r="78" spans="1:14" x14ac:dyDescent="0.35">
      <c r="A78" s="470"/>
      <c r="B78" s="117"/>
      <c r="C78" s="119"/>
      <c r="D78" s="119"/>
      <c r="E78" s="119"/>
      <c r="F78" s="112"/>
      <c r="G78" s="161"/>
      <c r="H78" s="113"/>
      <c r="I78" s="114"/>
      <c r="J78" s="115"/>
      <c r="K78" s="116"/>
      <c r="L78" s="69"/>
      <c r="M78" s="69"/>
      <c r="N78" s="148"/>
    </row>
    <row r="79" spans="1:14" x14ac:dyDescent="0.35">
      <c r="A79" s="470"/>
      <c r="B79" s="117"/>
      <c r="C79" s="119"/>
      <c r="D79" s="119"/>
      <c r="E79" s="119"/>
      <c r="F79" s="112"/>
      <c r="G79" s="161" t="s">
        <v>28</v>
      </c>
      <c r="H79" s="113"/>
      <c r="I79" s="114"/>
      <c r="J79" s="115"/>
      <c r="K79" s="116"/>
      <c r="L79" s="69"/>
      <c r="M79" s="69"/>
      <c r="N79" s="148"/>
    </row>
    <row r="80" spans="1:14" x14ac:dyDescent="0.35">
      <c r="A80" s="470"/>
      <c r="B80" s="117"/>
      <c r="C80" s="119"/>
      <c r="D80" s="119"/>
      <c r="E80" s="119"/>
      <c r="F80" s="112"/>
      <c r="G80" s="112"/>
      <c r="H80" s="113"/>
      <c r="I80" s="114"/>
      <c r="J80" s="115"/>
      <c r="K80" s="116"/>
      <c r="L80" s="116"/>
      <c r="M80" s="116"/>
      <c r="N80" s="148"/>
    </row>
    <row r="81" spans="1:14" ht="15.5" x14ac:dyDescent="0.35">
      <c r="A81" s="470"/>
      <c r="B81" s="120"/>
      <c r="C81" s="121"/>
      <c r="D81" s="121"/>
      <c r="E81" s="121"/>
      <c r="F81" s="122"/>
      <c r="G81" s="123"/>
      <c r="H81" s="32" t="s">
        <v>459</v>
      </c>
      <c r="I81" s="124"/>
      <c r="J81" s="125"/>
      <c r="K81" s="126"/>
      <c r="L81" s="137">
        <f>SUM(L68:L79)</f>
        <v>0</v>
      </c>
      <c r="M81" s="137">
        <f>SUM(M68:M79)</f>
        <v>0</v>
      </c>
      <c r="N81" s="148"/>
    </row>
    <row r="82" spans="1:14" x14ac:dyDescent="0.35">
      <c r="A82" s="470"/>
      <c r="B82" s="56"/>
      <c r="C82" s="8"/>
      <c r="D82" s="8"/>
      <c r="E82" s="8"/>
      <c r="F82" s="28"/>
      <c r="G82" s="28"/>
      <c r="H82" s="29"/>
      <c r="I82" s="29"/>
      <c r="J82" s="97"/>
      <c r="K82" s="29"/>
      <c r="L82" s="29"/>
      <c r="M82" s="29"/>
      <c r="N82" s="148"/>
    </row>
    <row r="83" spans="1:14" ht="18.5" x14ac:dyDescent="0.35">
      <c r="A83" s="470"/>
      <c r="B83" s="57">
        <v>235</v>
      </c>
      <c r="C83" s="35" t="s">
        <v>14</v>
      </c>
      <c r="D83" s="35" t="s">
        <v>126</v>
      </c>
      <c r="E83" s="40"/>
      <c r="F83" s="160" t="s">
        <v>31</v>
      </c>
      <c r="G83" s="161" t="s">
        <v>16</v>
      </c>
      <c r="H83" s="103" t="s">
        <v>456</v>
      </c>
      <c r="I83" s="68" t="s">
        <v>4</v>
      </c>
      <c r="J83" s="95">
        <f>0.45*(4.05+4.11+1.845+1.41+0.86+1.105+1.775+1.02)+0.45*(0.5+0.88+0.44+0.575+0.75+0.765+0.38+0.455)+2.5*2+0.986+2.5*2+0.981</f>
        <v>21.381000000000004</v>
      </c>
      <c r="K83" s="312">
        <v>0</v>
      </c>
      <c r="L83" s="69">
        <f>K83*J83</f>
        <v>0</v>
      </c>
      <c r="M83" s="312">
        <v>0</v>
      </c>
      <c r="N83" s="148" t="s">
        <v>606</v>
      </c>
    </row>
    <row r="84" spans="1:14" ht="18.5" x14ac:dyDescent="0.35">
      <c r="A84" s="470"/>
      <c r="B84" s="56"/>
      <c r="C84" s="20"/>
      <c r="D84" s="20"/>
      <c r="E84" s="8"/>
      <c r="F84" s="241"/>
      <c r="G84" s="161"/>
      <c r="H84" s="103" t="s">
        <v>496</v>
      </c>
      <c r="I84" s="68" t="s">
        <v>4</v>
      </c>
      <c r="J84" s="95">
        <f>((0.29*2+0.1)*(1.845+1.41+0.86+1.105+1.775+1.02))</f>
        <v>5.4501999999999997</v>
      </c>
      <c r="K84" s="312">
        <v>0</v>
      </c>
      <c r="L84" s="69">
        <f>K84*J84</f>
        <v>0</v>
      </c>
      <c r="M84" s="312">
        <v>0</v>
      </c>
      <c r="N84" s="148" t="s">
        <v>606</v>
      </c>
    </row>
    <row r="85" spans="1:14" x14ac:dyDescent="0.35">
      <c r="A85" s="470"/>
      <c r="B85" s="56"/>
      <c r="C85" s="8"/>
      <c r="D85" s="8"/>
      <c r="E85" s="8"/>
      <c r="F85" s="217"/>
      <c r="G85" s="161"/>
      <c r="H85" s="103"/>
      <c r="I85" s="68"/>
      <c r="J85" s="212"/>
      <c r="K85" s="69"/>
      <c r="L85" s="69"/>
      <c r="M85" s="69"/>
      <c r="N85" s="148"/>
    </row>
    <row r="86" spans="1:14" x14ac:dyDescent="0.35">
      <c r="A86" s="470"/>
      <c r="B86" s="56"/>
      <c r="C86" s="8"/>
      <c r="D86" s="8"/>
      <c r="E86" s="8"/>
      <c r="F86" s="217"/>
      <c r="G86" s="161" t="s">
        <v>17</v>
      </c>
      <c r="H86" s="103" t="s">
        <v>616</v>
      </c>
      <c r="I86" s="68" t="s">
        <v>4</v>
      </c>
      <c r="J86" s="212">
        <f>(0.3+0.1)*(0.55+0.88+0.44+0.535+0.77+0.765+0.38+0.45)</f>
        <v>1.9080000000000004</v>
      </c>
      <c r="K86" s="312">
        <v>0</v>
      </c>
      <c r="L86" s="69">
        <f>K86*J86</f>
        <v>0</v>
      </c>
      <c r="M86" s="312">
        <v>0</v>
      </c>
      <c r="N86" s="148"/>
    </row>
    <row r="87" spans="1:14" x14ac:dyDescent="0.35">
      <c r="A87" s="470"/>
      <c r="B87" s="56"/>
      <c r="C87" s="8"/>
      <c r="D87" s="8"/>
      <c r="E87" s="8"/>
      <c r="F87" s="13"/>
      <c r="G87" s="161"/>
      <c r="H87" s="103" t="s">
        <v>617</v>
      </c>
      <c r="I87" s="68" t="s">
        <v>5</v>
      </c>
      <c r="J87" s="212">
        <f>4.05+4.11</f>
        <v>8.16</v>
      </c>
      <c r="K87" s="312">
        <v>0</v>
      </c>
      <c r="L87" s="69">
        <f>K87*J87</f>
        <v>0</v>
      </c>
      <c r="M87" s="312">
        <v>0</v>
      </c>
      <c r="N87" s="148"/>
    </row>
    <row r="88" spans="1:14" x14ac:dyDescent="0.35">
      <c r="A88" s="470"/>
      <c r="B88" s="56"/>
      <c r="C88" s="8"/>
      <c r="D88" s="8"/>
      <c r="E88" s="8"/>
      <c r="F88" s="13"/>
      <c r="G88" s="161"/>
      <c r="H88" s="103" t="s">
        <v>100</v>
      </c>
      <c r="I88" s="68" t="s">
        <v>5</v>
      </c>
      <c r="J88" s="212">
        <f>1.845+1.41+0.86+1.105+1.775+1.02</f>
        <v>8.0150000000000006</v>
      </c>
      <c r="K88" s="312">
        <v>0</v>
      </c>
      <c r="L88" s="69">
        <f>K88*J88</f>
        <v>0</v>
      </c>
      <c r="M88" s="312">
        <v>0</v>
      </c>
      <c r="N88" s="148"/>
    </row>
    <row r="89" spans="1:14" x14ac:dyDescent="0.35">
      <c r="A89" s="470"/>
      <c r="B89" s="56"/>
      <c r="C89" s="8"/>
      <c r="D89" s="8"/>
      <c r="E89" s="8"/>
      <c r="F89" s="13"/>
      <c r="G89" s="161"/>
      <c r="H89" s="103" t="s">
        <v>101</v>
      </c>
      <c r="I89" s="68" t="s">
        <v>5</v>
      </c>
      <c r="J89" s="212">
        <f>1.845+1.41+0.86+1.105+1.775+1.02</f>
        <v>8.0150000000000006</v>
      </c>
      <c r="K89" s="312">
        <v>0</v>
      </c>
      <c r="L89" s="69">
        <f>K89*J89</f>
        <v>0</v>
      </c>
      <c r="M89" s="312">
        <v>0</v>
      </c>
      <c r="N89" s="148"/>
    </row>
    <row r="90" spans="1:14" x14ac:dyDescent="0.35">
      <c r="A90" s="470"/>
      <c r="B90" s="56"/>
      <c r="C90" s="8"/>
      <c r="D90" s="8"/>
      <c r="E90" s="8"/>
      <c r="F90" s="13"/>
      <c r="G90" s="161"/>
      <c r="H90" s="103" t="s">
        <v>593</v>
      </c>
      <c r="I90" s="68" t="s">
        <v>5</v>
      </c>
      <c r="J90" s="212">
        <f>2.9+0.96+0.96</f>
        <v>4.82</v>
      </c>
      <c r="K90" s="312">
        <v>0</v>
      </c>
      <c r="L90" s="69">
        <f>K90*J90</f>
        <v>0</v>
      </c>
      <c r="M90" s="312">
        <v>0</v>
      </c>
      <c r="N90" s="148"/>
    </row>
    <row r="91" spans="1:14" x14ac:dyDescent="0.35">
      <c r="A91" s="470"/>
      <c r="B91" s="56"/>
      <c r="C91" s="8"/>
      <c r="D91" s="8"/>
      <c r="E91" s="8"/>
      <c r="F91" s="13"/>
      <c r="G91" s="161"/>
      <c r="H91" s="103"/>
      <c r="I91" s="68"/>
      <c r="J91" s="212"/>
      <c r="K91" s="69"/>
      <c r="L91" s="69"/>
      <c r="M91" s="69"/>
      <c r="N91" s="148"/>
    </row>
    <row r="92" spans="1:14" x14ac:dyDescent="0.35">
      <c r="A92" s="470"/>
      <c r="B92" s="56"/>
      <c r="C92" s="8"/>
      <c r="D92" s="8"/>
      <c r="E92" s="8"/>
      <c r="F92" s="13"/>
      <c r="G92" s="161" t="s">
        <v>18</v>
      </c>
      <c r="H92" s="103" t="s">
        <v>149</v>
      </c>
      <c r="I92" s="68" t="s">
        <v>4</v>
      </c>
      <c r="J92" s="212">
        <f>0.45*(0.5+0.88+0.44+0.575+0.75+0.765+0.38+0.455)+0.45*(4.05+4.11+1.845+1.41+0.86+1.105+1.775+1.02)</f>
        <v>9.4140000000000015</v>
      </c>
      <c r="K92" s="312">
        <v>0</v>
      </c>
      <c r="L92" s="69">
        <f>K92*J92</f>
        <v>0</v>
      </c>
      <c r="M92" s="312">
        <v>0</v>
      </c>
      <c r="N92" s="148" t="s">
        <v>519</v>
      </c>
    </row>
    <row r="93" spans="1:14" x14ac:dyDescent="0.35">
      <c r="A93" s="470"/>
      <c r="B93" s="56"/>
      <c r="C93" s="8"/>
      <c r="D93" s="8"/>
      <c r="E93" s="8"/>
      <c r="F93" s="13"/>
      <c r="G93" s="161"/>
      <c r="H93" s="103" t="s">
        <v>369</v>
      </c>
      <c r="I93" s="68" t="s">
        <v>4</v>
      </c>
      <c r="J93" s="212">
        <f>J84+0.45*(1.845+1.41+0.86+1.105+1.775+1.02)</f>
        <v>9.0569500000000005</v>
      </c>
      <c r="K93" s="312">
        <v>0</v>
      </c>
      <c r="L93" s="69">
        <f>K93*J93</f>
        <v>0</v>
      </c>
      <c r="M93" s="312">
        <v>0</v>
      </c>
      <c r="N93" s="148" t="s">
        <v>519</v>
      </c>
    </row>
    <row r="94" spans="1:14" x14ac:dyDescent="0.35">
      <c r="A94" s="470"/>
      <c r="B94" s="56"/>
      <c r="C94" s="8"/>
      <c r="D94" s="8"/>
      <c r="E94" s="8"/>
      <c r="F94" s="13"/>
      <c r="G94" s="161"/>
      <c r="H94" s="103" t="s">
        <v>368</v>
      </c>
      <c r="I94" s="68" t="s">
        <v>4</v>
      </c>
      <c r="J94" s="212">
        <f>2.5+2.5+0.45*(0.5+0.455)</f>
        <v>5.4297500000000003</v>
      </c>
      <c r="K94" s="312">
        <v>0</v>
      </c>
      <c r="L94" s="69">
        <f>K94*J94</f>
        <v>0</v>
      </c>
      <c r="M94" s="312">
        <v>0</v>
      </c>
      <c r="N94" s="148" t="s">
        <v>441</v>
      </c>
    </row>
    <row r="95" spans="1:14" x14ac:dyDescent="0.35">
      <c r="A95" s="470"/>
      <c r="B95" s="56"/>
      <c r="C95" s="8"/>
      <c r="D95" s="8"/>
      <c r="E95" s="8"/>
      <c r="F95" s="13"/>
      <c r="G95" s="161"/>
      <c r="H95" s="103"/>
      <c r="I95" s="68"/>
      <c r="J95" s="212"/>
      <c r="K95" s="69"/>
      <c r="L95" s="69"/>
      <c r="M95" s="69"/>
      <c r="N95" s="148"/>
    </row>
    <row r="96" spans="1:14" ht="29" x14ac:dyDescent="0.35">
      <c r="A96" s="470"/>
      <c r="B96" s="56"/>
      <c r="C96" s="8"/>
      <c r="D96" s="8"/>
      <c r="E96" s="8"/>
      <c r="F96" s="13"/>
      <c r="G96" s="161" t="s">
        <v>19</v>
      </c>
      <c r="H96" s="88" t="s">
        <v>774</v>
      </c>
      <c r="I96" s="68" t="s">
        <v>4</v>
      </c>
      <c r="J96" s="212">
        <f>0.48+0.06+0.06+(0.27+2.081*1)+(0.17+1.693*1)+(0.154+1.618*1)</f>
        <v>6.5860000000000003</v>
      </c>
      <c r="K96" s="312">
        <v>0</v>
      </c>
      <c r="L96" s="69">
        <f>K96*J96</f>
        <v>0</v>
      </c>
      <c r="M96" s="312">
        <v>0</v>
      </c>
      <c r="N96" s="223" t="s">
        <v>699</v>
      </c>
    </row>
    <row r="97" spans="1:14" ht="29" x14ac:dyDescent="0.35">
      <c r="A97" s="470"/>
      <c r="B97" s="56"/>
      <c r="C97" s="8"/>
      <c r="D97" s="8"/>
      <c r="E97" s="8"/>
      <c r="F97" s="13"/>
      <c r="G97" s="161"/>
      <c r="H97" s="88" t="s">
        <v>728</v>
      </c>
      <c r="I97" s="68" t="s">
        <v>4</v>
      </c>
      <c r="J97" s="212">
        <f>2.5+2.5+0.45*(1.845+1.41+0.86+1.105+1.775+1.02+0.25+0.25)</f>
        <v>8.8317499999999995</v>
      </c>
      <c r="K97" s="312">
        <v>0</v>
      </c>
      <c r="L97" s="69">
        <f>K97*J97</f>
        <v>0</v>
      </c>
      <c r="M97" s="312">
        <v>0</v>
      </c>
      <c r="N97" s="148"/>
    </row>
    <row r="98" spans="1:14" x14ac:dyDescent="0.35">
      <c r="A98" s="470"/>
      <c r="B98" s="56"/>
      <c r="C98" s="8"/>
      <c r="D98" s="8"/>
      <c r="E98" s="8"/>
      <c r="F98" s="13"/>
      <c r="G98" s="161"/>
      <c r="H98" s="103"/>
      <c r="I98" s="68"/>
      <c r="J98" s="212"/>
      <c r="K98" s="69"/>
      <c r="L98" s="69"/>
      <c r="M98" s="69"/>
      <c r="N98" s="148"/>
    </row>
    <row r="99" spans="1:14" x14ac:dyDescent="0.35">
      <c r="A99" s="470"/>
      <c r="B99" s="56"/>
      <c r="C99" s="8"/>
      <c r="D99" s="8"/>
      <c r="E99" s="8"/>
      <c r="F99" s="13"/>
      <c r="G99" s="13" t="s">
        <v>28</v>
      </c>
      <c r="H99" s="103" t="s">
        <v>29</v>
      </c>
      <c r="I99" s="68" t="s">
        <v>6</v>
      </c>
      <c r="J99" s="212">
        <v>12</v>
      </c>
      <c r="K99" s="312">
        <v>0</v>
      </c>
      <c r="L99" s="69">
        <f>K99*J99</f>
        <v>0</v>
      </c>
      <c r="M99" s="312">
        <v>0</v>
      </c>
      <c r="N99" s="148"/>
    </row>
    <row r="100" spans="1:14" x14ac:dyDescent="0.35">
      <c r="A100" s="470"/>
      <c r="B100" s="56"/>
      <c r="C100" s="8"/>
      <c r="D100" s="8"/>
      <c r="E100" s="8"/>
      <c r="F100" s="13"/>
      <c r="G100" s="13"/>
      <c r="H100" s="228" t="s">
        <v>153</v>
      </c>
      <c r="I100" s="211" t="s">
        <v>6</v>
      </c>
      <c r="J100" s="212">
        <v>6</v>
      </c>
      <c r="K100" s="312">
        <v>0</v>
      </c>
      <c r="L100" s="69">
        <f>K100*J100</f>
        <v>0</v>
      </c>
      <c r="M100" s="312">
        <v>0</v>
      </c>
      <c r="N100" s="148"/>
    </row>
    <row r="101" spans="1:14" s="135" customFormat="1" x14ac:dyDescent="0.35">
      <c r="A101" s="470"/>
      <c r="B101" s="56"/>
      <c r="C101" s="8"/>
      <c r="D101" s="8"/>
      <c r="E101" s="8"/>
      <c r="F101" s="13"/>
      <c r="G101" s="13"/>
      <c r="H101" s="213" t="s">
        <v>408</v>
      </c>
      <c r="I101" s="214" t="s">
        <v>6</v>
      </c>
      <c r="J101" s="215">
        <v>3</v>
      </c>
      <c r="K101" s="312">
        <v>0</v>
      </c>
      <c r="L101" s="69">
        <f>K101*J101</f>
        <v>0</v>
      </c>
      <c r="M101" s="312">
        <v>0</v>
      </c>
      <c r="N101" s="148"/>
    </row>
    <row r="102" spans="1:14" x14ac:dyDescent="0.35">
      <c r="A102" s="470"/>
      <c r="B102" s="56"/>
      <c r="C102" s="8"/>
      <c r="D102" s="8"/>
      <c r="E102" s="8"/>
      <c r="F102" s="13"/>
      <c r="G102" s="13"/>
      <c r="H102" s="228"/>
      <c r="I102" s="211"/>
      <c r="J102" s="212"/>
      <c r="K102" s="69"/>
      <c r="L102" s="69"/>
      <c r="M102" s="69"/>
      <c r="N102" s="148"/>
    </row>
    <row r="103" spans="1:14" ht="15.5" x14ac:dyDescent="0.35">
      <c r="A103" s="470"/>
      <c r="B103" s="76"/>
      <c r="C103" s="77"/>
      <c r="D103" s="77"/>
      <c r="E103" s="77"/>
      <c r="F103" s="30"/>
      <c r="G103" s="31"/>
      <c r="H103" s="32" t="s">
        <v>459</v>
      </c>
      <c r="I103" s="33"/>
      <c r="J103" s="98"/>
      <c r="K103" s="34"/>
      <c r="L103" s="137">
        <f>SUM(L83:L101)</f>
        <v>0</v>
      </c>
      <c r="M103" s="137">
        <f>SUM(M83:M101)</f>
        <v>0</v>
      </c>
      <c r="N103" s="148"/>
    </row>
    <row r="104" spans="1:14" x14ac:dyDescent="0.35">
      <c r="A104" s="470"/>
      <c r="B104" s="56"/>
      <c r="C104" s="8"/>
      <c r="D104" s="8"/>
      <c r="E104" s="8"/>
      <c r="F104" s="28"/>
      <c r="G104" s="28"/>
      <c r="H104" s="29"/>
      <c r="I104" s="29"/>
      <c r="J104" s="97"/>
      <c r="K104" s="29"/>
      <c r="L104" s="29"/>
      <c r="M104" s="29"/>
      <c r="N104" s="148"/>
    </row>
    <row r="105" spans="1:14" ht="18.5" x14ac:dyDescent="0.35">
      <c r="A105" s="470"/>
      <c r="B105" s="57">
        <v>236</v>
      </c>
      <c r="C105" s="35" t="s">
        <v>14</v>
      </c>
      <c r="D105" s="35" t="s">
        <v>125</v>
      </c>
      <c r="E105" s="40"/>
      <c r="F105" s="160" t="s">
        <v>119</v>
      </c>
      <c r="G105" s="161" t="s">
        <v>16</v>
      </c>
      <c r="H105" s="103" t="s">
        <v>502</v>
      </c>
      <c r="I105" s="68" t="s">
        <v>4</v>
      </c>
      <c r="J105" s="95">
        <f>2*2*2</f>
        <v>8</v>
      </c>
      <c r="K105" s="312">
        <v>0</v>
      </c>
      <c r="L105" s="69">
        <f>K105*J105</f>
        <v>0</v>
      </c>
      <c r="M105" s="312">
        <v>0</v>
      </c>
      <c r="N105" s="148"/>
    </row>
    <row r="106" spans="1:14" ht="18.5" x14ac:dyDescent="0.35">
      <c r="A106" s="470"/>
      <c r="B106" s="56"/>
      <c r="C106" s="20"/>
      <c r="D106" s="20"/>
      <c r="E106" s="8"/>
      <c r="F106" s="13"/>
      <c r="G106" s="161"/>
      <c r="H106" s="103"/>
      <c r="I106" s="68"/>
      <c r="J106" s="95"/>
      <c r="K106" s="69"/>
      <c r="L106" s="69"/>
      <c r="M106" s="69"/>
      <c r="N106" s="148"/>
    </row>
    <row r="107" spans="1:14" ht="43.5" x14ac:dyDescent="0.35">
      <c r="A107" s="470"/>
      <c r="B107" s="56"/>
      <c r="C107" s="8"/>
      <c r="D107" s="8"/>
      <c r="E107" s="8"/>
      <c r="F107" s="13"/>
      <c r="G107" s="161" t="s">
        <v>17</v>
      </c>
      <c r="H107" s="221" t="s">
        <v>767</v>
      </c>
      <c r="I107" s="68" t="s">
        <v>4</v>
      </c>
      <c r="J107" s="95">
        <f>0.07*2.05</f>
        <v>0.14349999999999999</v>
      </c>
      <c r="K107" s="312">
        <v>0</v>
      </c>
      <c r="L107" s="69">
        <f>K107*J107</f>
        <v>0</v>
      </c>
      <c r="M107" s="312">
        <v>0</v>
      </c>
      <c r="N107" s="148"/>
    </row>
    <row r="108" spans="1:14" x14ac:dyDescent="0.35">
      <c r="A108" s="470"/>
      <c r="B108" s="56"/>
      <c r="C108" s="8"/>
      <c r="D108" s="8"/>
      <c r="E108" s="8"/>
      <c r="F108" s="13"/>
      <c r="G108" s="161"/>
      <c r="H108" s="103" t="s">
        <v>630</v>
      </c>
      <c r="I108" s="68" t="s">
        <v>6</v>
      </c>
      <c r="J108" s="95">
        <v>4</v>
      </c>
      <c r="K108" s="312">
        <v>0</v>
      </c>
      <c r="L108" s="69">
        <f>K108*J108</f>
        <v>0</v>
      </c>
      <c r="M108" s="312">
        <v>0</v>
      </c>
      <c r="N108" s="148"/>
    </row>
    <row r="109" spans="1:14" x14ac:dyDescent="0.35">
      <c r="A109" s="470"/>
      <c r="B109" s="56"/>
      <c r="C109" s="8"/>
      <c r="D109" s="8"/>
      <c r="E109" s="8"/>
      <c r="F109" s="13"/>
      <c r="G109" s="161"/>
      <c r="H109" s="103" t="s">
        <v>722</v>
      </c>
      <c r="I109" s="68" t="s">
        <v>6</v>
      </c>
      <c r="J109" s="95">
        <v>2</v>
      </c>
      <c r="K109" s="312">
        <v>0</v>
      </c>
      <c r="L109" s="69">
        <f>K109*J109</f>
        <v>0</v>
      </c>
      <c r="M109" s="312">
        <v>0</v>
      </c>
      <c r="N109" s="148"/>
    </row>
    <row r="110" spans="1:14" x14ac:dyDescent="0.35">
      <c r="A110" s="470"/>
      <c r="B110" s="56"/>
      <c r="C110" s="8"/>
      <c r="D110" s="8"/>
      <c r="E110" s="8"/>
      <c r="F110" s="13"/>
      <c r="G110" s="161"/>
      <c r="H110" s="103"/>
      <c r="I110" s="68"/>
      <c r="J110" s="95"/>
      <c r="K110" s="69"/>
      <c r="L110" s="69"/>
      <c r="M110" s="69"/>
      <c r="N110" s="148"/>
    </row>
    <row r="111" spans="1:14" x14ac:dyDescent="0.35">
      <c r="A111" s="470"/>
      <c r="B111" s="56"/>
      <c r="C111" s="8"/>
      <c r="D111" s="8"/>
      <c r="E111" s="8"/>
      <c r="F111" s="13"/>
      <c r="G111" s="161" t="s">
        <v>18</v>
      </c>
      <c r="H111" s="103" t="s">
        <v>121</v>
      </c>
      <c r="I111" s="68" t="s">
        <v>4</v>
      </c>
      <c r="J111" s="95">
        <f>2*2+0.038*2*4</f>
        <v>4.3040000000000003</v>
      </c>
      <c r="K111" s="312">
        <v>0</v>
      </c>
      <c r="L111" s="69">
        <f>K111*J111</f>
        <v>0</v>
      </c>
      <c r="M111" s="312">
        <v>0</v>
      </c>
      <c r="N111" s="148" t="s">
        <v>519</v>
      </c>
    </row>
    <row r="112" spans="1:14" x14ac:dyDescent="0.35">
      <c r="A112" s="470"/>
      <c r="B112" s="56"/>
      <c r="C112" s="8"/>
      <c r="D112" s="8"/>
      <c r="E112" s="8"/>
      <c r="F112" s="13"/>
      <c r="G112" s="161"/>
      <c r="H112" s="103" t="s">
        <v>120</v>
      </c>
      <c r="I112" s="68" t="s">
        <v>4</v>
      </c>
      <c r="J112" s="95">
        <f>2*2</f>
        <v>4</v>
      </c>
      <c r="K112" s="312">
        <v>0</v>
      </c>
      <c r="L112" s="69">
        <f>K112*J112</f>
        <v>0</v>
      </c>
      <c r="M112" s="312">
        <v>0</v>
      </c>
      <c r="N112" s="148"/>
    </row>
    <row r="113" spans="1:14" x14ac:dyDescent="0.35">
      <c r="A113" s="470"/>
      <c r="B113" s="56"/>
      <c r="C113" s="8"/>
      <c r="D113" s="8"/>
      <c r="E113" s="8"/>
      <c r="F113" s="13"/>
      <c r="G113" s="13"/>
      <c r="H113" s="103"/>
      <c r="I113" s="68"/>
      <c r="J113" s="95"/>
      <c r="K113" s="69"/>
      <c r="L113" s="69"/>
      <c r="M113" s="69"/>
      <c r="N113" s="148"/>
    </row>
    <row r="114" spans="1:14" ht="15.5" x14ac:dyDescent="0.35">
      <c r="A114" s="470"/>
      <c r="B114" s="76"/>
      <c r="C114" s="77"/>
      <c r="D114" s="77"/>
      <c r="E114" s="77"/>
      <c r="F114" s="30"/>
      <c r="G114" s="31"/>
      <c r="H114" s="32" t="s">
        <v>459</v>
      </c>
      <c r="I114" s="33"/>
      <c r="J114" s="98"/>
      <c r="K114" s="34"/>
      <c r="L114" s="137">
        <f>SUM(L105:L112)</f>
        <v>0</v>
      </c>
      <c r="M114" s="137">
        <f>SUM(M105:M112)</f>
        <v>0</v>
      </c>
      <c r="N114" s="148"/>
    </row>
    <row r="115" spans="1:14" ht="15" thickBot="1" x14ac:dyDescent="0.4">
      <c r="A115" s="470"/>
      <c r="B115" s="56"/>
      <c r="C115" s="8"/>
      <c r="D115" s="8"/>
      <c r="E115" s="8"/>
      <c r="F115" s="8"/>
      <c r="G115" s="8"/>
      <c r="H115" s="141"/>
      <c r="I115" s="141"/>
      <c r="J115" s="162"/>
      <c r="K115" s="141"/>
      <c r="L115" s="141"/>
      <c r="M115" s="141"/>
      <c r="N115" s="148"/>
    </row>
    <row r="116" spans="1:14" ht="19" thickBot="1" x14ac:dyDescent="0.4">
      <c r="A116" s="470"/>
      <c r="B116" s="453" t="s">
        <v>37</v>
      </c>
      <c r="C116" s="454"/>
      <c r="D116" s="454"/>
      <c r="E116" s="454"/>
      <c r="F116" s="454"/>
      <c r="G116" s="140"/>
      <c r="H116" s="140" t="s">
        <v>459</v>
      </c>
      <c r="I116" s="50"/>
      <c r="J116" s="94"/>
      <c r="K116" s="51"/>
      <c r="L116" s="52">
        <f>L114+L103+L81+L66+L52+L38</f>
        <v>0</v>
      </c>
      <c r="M116" s="53">
        <f>M114+M103+M81+M66+M52+M38</f>
        <v>0</v>
      </c>
      <c r="N116" s="148"/>
    </row>
    <row r="117" spans="1:14" ht="19" thickBot="1" x14ac:dyDescent="0.4">
      <c r="A117" s="471"/>
      <c r="B117" s="58"/>
      <c r="C117" s="21"/>
      <c r="D117" s="21"/>
      <c r="E117" s="14"/>
      <c r="F117" s="15"/>
      <c r="G117" s="15"/>
      <c r="H117" s="16"/>
      <c r="I117" s="17"/>
      <c r="J117" s="96"/>
      <c r="K117" s="277"/>
      <c r="L117" s="278"/>
      <c r="M117" s="276"/>
      <c r="N117" s="148"/>
    </row>
    <row r="118" spans="1:14" ht="18.5" x14ac:dyDescent="0.35">
      <c r="A118" s="469" t="s">
        <v>39</v>
      </c>
      <c r="B118" s="56"/>
      <c r="C118" s="20"/>
      <c r="D118" s="20"/>
      <c r="E118" s="8"/>
      <c r="F118" s="13"/>
      <c r="G118" s="13"/>
      <c r="H118" s="141"/>
      <c r="I118" s="68"/>
      <c r="J118" s="95"/>
      <c r="K118" s="69"/>
      <c r="L118" s="69"/>
      <c r="M118" s="69"/>
      <c r="N118" s="146"/>
    </row>
    <row r="119" spans="1:14" ht="18.75" customHeight="1" x14ac:dyDescent="0.35">
      <c r="A119" s="470"/>
      <c r="B119" s="57">
        <v>237</v>
      </c>
      <c r="C119" s="35" t="s">
        <v>38</v>
      </c>
      <c r="D119" s="35" t="s">
        <v>116</v>
      </c>
      <c r="E119" s="40"/>
      <c r="F119" s="160" t="s">
        <v>388</v>
      </c>
      <c r="G119" s="161"/>
      <c r="H119" s="103" t="s">
        <v>42</v>
      </c>
      <c r="I119" s="68" t="s">
        <v>4</v>
      </c>
      <c r="J119" s="95">
        <f>0.75*0.75</f>
        <v>0.5625</v>
      </c>
      <c r="K119" s="312">
        <v>0</v>
      </c>
      <c r="L119" s="69">
        <f>K119*J119</f>
        <v>0</v>
      </c>
      <c r="M119" s="312">
        <v>0</v>
      </c>
      <c r="N119" s="148"/>
    </row>
    <row r="120" spans="1:14" x14ac:dyDescent="0.35">
      <c r="A120" s="470"/>
      <c r="B120" s="56"/>
      <c r="C120" s="8"/>
      <c r="D120" s="8"/>
      <c r="E120" s="8"/>
      <c r="F120" s="13"/>
      <c r="G120" s="13"/>
      <c r="H120" s="103"/>
      <c r="I120" s="68"/>
      <c r="J120" s="95"/>
      <c r="K120" s="69"/>
      <c r="L120" s="69"/>
      <c r="M120" s="69"/>
      <c r="N120" s="148"/>
    </row>
    <row r="121" spans="1:14" ht="15.5" x14ac:dyDescent="0.35">
      <c r="A121" s="470"/>
      <c r="B121" s="76"/>
      <c r="C121" s="77"/>
      <c r="D121" s="77"/>
      <c r="E121" s="77"/>
      <c r="F121" s="30"/>
      <c r="G121" s="31"/>
      <c r="H121" s="32" t="s">
        <v>459</v>
      </c>
      <c r="I121" s="33"/>
      <c r="J121" s="98"/>
      <c r="K121" s="34"/>
      <c r="L121" s="137">
        <f>SUM(L119:L119)</f>
        <v>0</v>
      </c>
      <c r="M121" s="137">
        <f>SUM(M119:M119)</f>
        <v>0</v>
      </c>
      <c r="N121" s="148"/>
    </row>
    <row r="122" spans="1:14" x14ac:dyDescent="0.35">
      <c r="A122" s="470"/>
      <c r="B122" s="56"/>
      <c r="C122" s="8"/>
      <c r="D122" s="8"/>
      <c r="E122" s="8"/>
      <c r="F122" s="8"/>
      <c r="G122" s="8"/>
      <c r="H122" s="141"/>
      <c r="I122" s="141"/>
      <c r="J122" s="162"/>
      <c r="K122" s="141"/>
      <c r="L122" s="141"/>
      <c r="M122" s="141"/>
      <c r="N122" s="148"/>
    </row>
    <row r="123" spans="1:14" ht="18.5" x14ac:dyDescent="0.35">
      <c r="A123" s="470"/>
      <c r="B123" s="57">
        <v>238</v>
      </c>
      <c r="C123" s="35" t="s">
        <v>38</v>
      </c>
      <c r="D123" s="35" t="s">
        <v>117</v>
      </c>
      <c r="E123" s="40"/>
      <c r="F123" s="160" t="s">
        <v>31</v>
      </c>
      <c r="G123" s="161"/>
      <c r="H123" s="103" t="s">
        <v>528</v>
      </c>
      <c r="I123" s="68" t="s">
        <v>4</v>
      </c>
      <c r="J123" s="95">
        <f>2.5+2.5+0.45*(1.845+1.41+0.86+1.105+1.775+1.02+0.25+0.25)</f>
        <v>8.8317499999999995</v>
      </c>
      <c r="K123" s="312">
        <v>0</v>
      </c>
      <c r="L123" s="69">
        <f>K123*J123</f>
        <v>0</v>
      </c>
      <c r="M123" s="312">
        <v>0</v>
      </c>
      <c r="N123" s="148"/>
    </row>
    <row r="124" spans="1:14" x14ac:dyDescent="0.35">
      <c r="A124" s="470"/>
      <c r="B124" s="56"/>
      <c r="C124" s="8"/>
      <c r="D124" s="8"/>
      <c r="E124" s="8"/>
      <c r="F124" s="13"/>
      <c r="G124" s="13"/>
      <c r="H124" s="103"/>
      <c r="I124" s="68"/>
      <c r="J124" s="95"/>
      <c r="K124" s="69"/>
      <c r="L124" s="69"/>
      <c r="M124" s="69"/>
      <c r="N124" s="148"/>
    </row>
    <row r="125" spans="1:14" ht="15.5" x14ac:dyDescent="0.35">
      <c r="A125" s="470"/>
      <c r="B125" s="76"/>
      <c r="C125" s="77"/>
      <c r="D125" s="77"/>
      <c r="E125" s="77"/>
      <c r="F125" s="30"/>
      <c r="G125" s="31"/>
      <c r="H125" s="32" t="s">
        <v>459</v>
      </c>
      <c r="I125" s="33"/>
      <c r="J125" s="98"/>
      <c r="K125" s="34"/>
      <c r="L125" s="137">
        <f>SUM(L123:L123)</f>
        <v>0</v>
      </c>
      <c r="M125" s="137">
        <f>SUM(M123:M123)</f>
        <v>0</v>
      </c>
      <c r="N125" s="148"/>
    </row>
    <row r="126" spans="1:14" x14ac:dyDescent="0.35">
      <c r="A126" s="470"/>
      <c r="B126" s="56"/>
      <c r="C126" s="8"/>
      <c r="D126" s="8"/>
      <c r="E126" s="8"/>
      <c r="F126" s="8"/>
      <c r="G126" s="8"/>
      <c r="H126" s="141"/>
      <c r="I126" s="141"/>
      <c r="J126" s="162"/>
      <c r="K126" s="141"/>
      <c r="L126" s="141"/>
      <c r="M126" s="141"/>
      <c r="N126" s="148"/>
    </row>
    <row r="127" spans="1:14" ht="18.5" x14ac:dyDescent="0.35">
      <c r="A127" s="470"/>
      <c r="B127" s="57">
        <v>239</v>
      </c>
      <c r="C127" s="35" t="s">
        <v>38</v>
      </c>
      <c r="D127" s="35" t="s">
        <v>118</v>
      </c>
      <c r="E127" s="40"/>
      <c r="F127" s="160" t="s">
        <v>123</v>
      </c>
      <c r="G127" s="161"/>
      <c r="H127" s="103" t="s">
        <v>528</v>
      </c>
      <c r="I127" s="68" t="s">
        <v>4</v>
      </c>
      <c r="J127" s="95">
        <f>2*2</f>
        <v>4</v>
      </c>
      <c r="K127" s="312">
        <v>0</v>
      </c>
      <c r="L127" s="69">
        <f>K127*J127</f>
        <v>0</v>
      </c>
      <c r="M127" s="312">
        <v>0</v>
      </c>
      <c r="N127" s="148"/>
    </row>
    <row r="128" spans="1:14" x14ac:dyDescent="0.35">
      <c r="A128" s="470"/>
      <c r="B128" s="56"/>
      <c r="C128" s="8"/>
      <c r="D128" s="8"/>
      <c r="E128" s="8"/>
      <c r="F128" s="13"/>
      <c r="G128" s="13"/>
      <c r="H128" s="103"/>
      <c r="I128" s="68"/>
      <c r="J128" s="95"/>
      <c r="K128" s="69"/>
      <c r="L128" s="69"/>
      <c r="M128" s="69"/>
      <c r="N128" s="148"/>
    </row>
    <row r="129" spans="1:14" ht="15.5" x14ac:dyDescent="0.35">
      <c r="A129" s="470"/>
      <c r="B129" s="76"/>
      <c r="C129" s="77"/>
      <c r="D129" s="77"/>
      <c r="E129" s="77"/>
      <c r="F129" s="30"/>
      <c r="G129" s="31"/>
      <c r="H129" s="32" t="s">
        <v>459</v>
      </c>
      <c r="I129" s="33"/>
      <c r="J129" s="98"/>
      <c r="K129" s="34"/>
      <c r="L129" s="137">
        <f>SUM(L127:L127)</f>
        <v>0</v>
      </c>
      <c r="M129" s="137">
        <f>SUM(M127:M127)</f>
        <v>0</v>
      </c>
      <c r="N129" s="148"/>
    </row>
    <row r="130" spans="1:14" x14ac:dyDescent="0.35">
      <c r="A130" s="470"/>
      <c r="B130" s="56"/>
      <c r="C130" s="8"/>
      <c r="D130" s="8"/>
      <c r="E130" s="8"/>
      <c r="F130" s="28"/>
      <c r="G130" s="28"/>
      <c r="H130" s="29"/>
      <c r="I130" s="29"/>
      <c r="J130" s="97"/>
      <c r="K130" s="29"/>
      <c r="L130" s="29"/>
      <c r="M130" s="29"/>
      <c r="N130" s="148"/>
    </row>
    <row r="131" spans="1:14" ht="18.5" x14ac:dyDescent="0.35">
      <c r="A131" s="470"/>
      <c r="B131" s="57">
        <v>240</v>
      </c>
      <c r="C131" s="35" t="s">
        <v>38</v>
      </c>
      <c r="D131" s="35" t="s">
        <v>122</v>
      </c>
      <c r="E131" s="40"/>
      <c r="F131" s="160" t="s">
        <v>103</v>
      </c>
      <c r="G131" s="161"/>
      <c r="H131" s="103" t="s">
        <v>584</v>
      </c>
      <c r="I131" s="68" t="s">
        <v>6</v>
      </c>
      <c r="J131" s="95">
        <v>20</v>
      </c>
      <c r="K131" s="312">
        <v>0</v>
      </c>
      <c r="L131" s="69"/>
      <c r="M131" s="316">
        <f>J131*K131</f>
        <v>0</v>
      </c>
      <c r="N131" s="148" t="s">
        <v>711</v>
      </c>
    </row>
    <row r="132" spans="1:14" x14ac:dyDescent="0.35">
      <c r="A132" s="470"/>
      <c r="B132" s="56"/>
      <c r="C132" s="8"/>
      <c r="D132" s="8"/>
      <c r="E132" s="8"/>
      <c r="F132" s="13"/>
      <c r="G132" s="13"/>
      <c r="H132" s="103"/>
      <c r="I132" s="68"/>
      <c r="J132" s="95"/>
      <c r="K132" s="69"/>
      <c r="L132" s="69"/>
      <c r="M132" s="69"/>
      <c r="N132" s="148"/>
    </row>
    <row r="133" spans="1:14" ht="15.5" x14ac:dyDescent="0.35">
      <c r="A133" s="470"/>
      <c r="B133" s="76"/>
      <c r="C133" s="77"/>
      <c r="D133" s="77"/>
      <c r="E133" s="77"/>
      <c r="F133" s="30"/>
      <c r="G133" s="31"/>
      <c r="H133" s="32" t="s">
        <v>459</v>
      </c>
      <c r="I133" s="33"/>
      <c r="J133" s="98"/>
      <c r="K133" s="34"/>
      <c r="L133" s="137">
        <f>SUM(L131)</f>
        <v>0</v>
      </c>
      <c r="M133" s="137">
        <f>SUM(M131)</f>
        <v>0</v>
      </c>
      <c r="N133" s="148"/>
    </row>
    <row r="134" spans="1:14" ht="15" thickBot="1" x14ac:dyDescent="0.4">
      <c r="A134" s="470"/>
      <c r="B134" s="56"/>
      <c r="C134" s="8"/>
      <c r="D134" s="8"/>
      <c r="E134" s="8"/>
      <c r="F134" s="8"/>
      <c r="G134" s="8"/>
      <c r="H134" s="141"/>
      <c r="I134" s="141"/>
      <c r="J134" s="162"/>
      <c r="K134" s="141"/>
      <c r="L134" s="141"/>
      <c r="M134" s="141"/>
      <c r="N134" s="148"/>
    </row>
    <row r="135" spans="1:14" ht="19" thickBot="1" x14ac:dyDescent="0.4">
      <c r="A135" s="470"/>
      <c r="B135" s="453" t="s">
        <v>43</v>
      </c>
      <c r="C135" s="454"/>
      <c r="D135" s="454"/>
      <c r="E135" s="454"/>
      <c r="F135" s="454"/>
      <c r="G135" s="140"/>
      <c r="H135" s="140" t="s">
        <v>459</v>
      </c>
      <c r="I135" s="50"/>
      <c r="J135" s="94"/>
      <c r="K135" s="51"/>
      <c r="L135" s="52">
        <f>L133+L129+L125+L121</f>
        <v>0</v>
      </c>
      <c r="M135" s="53">
        <f>M133+M129+M125+M121</f>
        <v>0</v>
      </c>
      <c r="N135" s="148"/>
    </row>
    <row r="136" spans="1:14" ht="19" thickBot="1" x14ac:dyDescent="0.4">
      <c r="A136" s="471"/>
      <c r="B136" s="58"/>
      <c r="C136" s="21"/>
      <c r="D136" s="21"/>
      <c r="E136" s="14"/>
      <c r="F136" s="15"/>
      <c r="G136" s="15"/>
      <c r="H136" s="16"/>
      <c r="I136" s="17"/>
      <c r="J136" s="96"/>
      <c r="K136" s="277"/>
      <c r="L136" s="278"/>
      <c r="M136" s="276"/>
      <c r="N136" s="219"/>
    </row>
    <row r="137" spans="1:14" s="74" customFormat="1" ht="18.5" x14ac:dyDescent="0.35">
      <c r="A137" s="469" t="s">
        <v>46</v>
      </c>
      <c r="B137" s="56"/>
      <c r="C137" s="20"/>
      <c r="D137" s="20"/>
      <c r="E137" s="8"/>
      <c r="F137" s="13"/>
      <c r="G137" s="13"/>
      <c r="H137" s="141"/>
      <c r="I137" s="68"/>
      <c r="J137" s="95"/>
      <c r="K137" s="69"/>
      <c r="L137" s="69"/>
      <c r="M137" s="69"/>
      <c r="N137" s="146"/>
    </row>
    <row r="138" spans="1:14" s="74" customFormat="1" ht="18.75" customHeight="1" x14ac:dyDescent="0.35">
      <c r="A138" s="462"/>
      <c r="B138" s="57">
        <v>241</v>
      </c>
      <c r="C138" s="35" t="s">
        <v>47</v>
      </c>
      <c r="D138" s="35" t="s">
        <v>353</v>
      </c>
      <c r="E138" s="40"/>
      <c r="F138" s="160" t="s">
        <v>620</v>
      </c>
      <c r="G138" s="161" t="s">
        <v>106</v>
      </c>
      <c r="H138" s="103" t="s">
        <v>517</v>
      </c>
      <c r="I138" s="68" t="s">
        <v>6</v>
      </c>
      <c r="J138" s="95">
        <v>18</v>
      </c>
      <c r="K138" s="312">
        <v>0</v>
      </c>
      <c r="L138" s="69">
        <f>K138*J138</f>
        <v>0</v>
      </c>
      <c r="M138" s="312">
        <v>0</v>
      </c>
      <c r="N138" s="148"/>
    </row>
    <row r="139" spans="1:14" s="74" customFormat="1" x14ac:dyDescent="0.35">
      <c r="A139" s="462"/>
      <c r="B139" s="56"/>
      <c r="C139" s="8"/>
      <c r="D139" s="8"/>
      <c r="E139" s="8"/>
      <c r="F139" s="13"/>
      <c r="G139" s="13"/>
      <c r="H139" s="103"/>
      <c r="I139" s="68"/>
      <c r="J139" s="95"/>
      <c r="K139" s="69"/>
      <c r="L139" s="69"/>
      <c r="M139" s="69"/>
      <c r="N139" s="148"/>
    </row>
    <row r="140" spans="1:14" s="74" customFormat="1" ht="15.5" x14ac:dyDescent="0.35">
      <c r="A140" s="462"/>
      <c r="B140" s="76"/>
      <c r="C140" s="77"/>
      <c r="D140" s="77"/>
      <c r="E140" s="77"/>
      <c r="F140" s="30"/>
      <c r="G140" s="31"/>
      <c r="H140" s="32" t="s">
        <v>459</v>
      </c>
      <c r="I140" s="33"/>
      <c r="J140" s="98"/>
      <c r="K140" s="34"/>
      <c r="L140" s="137">
        <f>SUM(L138:L138)</f>
        <v>0</v>
      </c>
      <c r="M140" s="137">
        <f>SUM(M138:M138)</f>
        <v>0</v>
      </c>
      <c r="N140" s="148"/>
    </row>
    <row r="141" spans="1:14" s="74" customFormat="1" ht="18.5" x14ac:dyDescent="0.35">
      <c r="A141" s="462"/>
      <c r="B141" s="56"/>
      <c r="C141" s="20"/>
      <c r="D141" s="20"/>
      <c r="E141" s="8"/>
      <c r="F141" s="13"/>
      <c r="G141" s="13"/>
      <c r="H141" s="141"/>
      <c r="I141" s="68"/>
      <c r="J141" s="95"/>
      <c r="K141" s="69"/>
      <c r="L141" s="69"/>
      <c r="M141" s="69"/>
      <c r="N141" s="148"/>
    </row>
    <row r="142" spans="1:14" s="74" customFormat="1" ht="18.75" customHeight="1" x14ac:dyDescent="0.35">
      <c r="A142" s="462"/>
      <c r="B142" s="57">
        <v>242</v>
      </c>
      <c r="C142" s="35" t="s">
        <v>47</v>
      </c>
      <c r="D142" s="35" t="s">
        <v>354</v>
      </c>
      <c r="E142" s="40"/>
      <c r="F142" s="160" t="s">
        <v>620</v>
      </c>
      <c r="G142" s="161" t="s">
        <v>124</v>
      </c>
      <c r="H142" s="103" t="s">
        <v>599</v>
      </c>
      <c r="I142" s="68" t="s">
        <v>6</v>
      </c>
      <c r="J142" s="95">
        <v>3</v>
      </c>
      <c r="K142" s="312">
        <v>0</v>
      </c>
      <c r="L142" s="69">
        <f>K142*J142</f>
        <v>0</v>
      </c>
      <c r="M142" s="312">
        <v>0</v>
      </c>
      <c r="N142" s="148"/>
    </row>
    <row r="143" spans="1:14" s="74" customFormat="1" x14ac:dyDescent="0.35">
      <c r="A143" s="462"/>
      <c r="B143" s="56"/>
      <c r="C143" s="8"/>
      <c r="D143" s="8"/>
      <c r="E143" s="8"/>
      <c r="F143" s="13"/>
      <c r="G143" s="13"/>
      <c r="H143" s="103"/>
      <c r="I143" s="68"/>
      <c r="J143" s="95"/>
      <c r="K143" s="69"/>
      <c r="L143" s="69"/>
      <c r="M143" s="69"/>
      <c r="N143" s="148"/>
    </row>
    <row r="144" spans="1:14" s="74" customFormat="1" ht="15.5" x14ac:dyDescent="0.35">
      <c r="A144" s="462"/>
      <c r="B144" s="76"/>
      <c r="C144" s="77"/>
      <c r="D144" s="77"/>
      <c r="E144" s="77"/>
      <c r="F144" s="30"/>
      <c r="G144" s="31"/>
      <c r="H144" s="32" t="s">
        <v>459</v>
      </c>
      <c r="I144" s="33"/>
      <c r="J144" s="98"/>
      <c r="K144" s="34"/>
      <c r="L144" s="137">
        <f>SUM(L142:L142)</f>
        <v>0</v>
      </c>
      <c r="M144" s="137">
        <f>SUM(M142:M142)</f>
        <v>0</v>
      </c>
      <c r="N144" s="148"/>
    </row>
    <row r="145" spans="1:14" s="74" customFormat="1" x14ac:dyDescent="0.35">
      <c r="A145" s="462"/>
      <c r="B145" s="56"/>
      <c r="C145" s="8"/>
      <c r="D145" s="8"/>
      <c r="E145" s="8"/>
      <c r="F145" s="28"/>
      <c r="G145" s="28"/>
      <c r="H145" s="29"/>
      <c r="I145" s="29"/>
      <c r="J145" s="97"/>
      <c r="K145" s="29"/>
      <c r="L145" s="29"/>
      <c r="M145" s="29"/>
      <c r="N145" s="148"/>
    </row>
    <row r="146" spans="1:14" s="74" customFormat="1" ht="18.5" x14ac:dyDescent="0.35">
      <c r="A146" s="462"/>
      <c r="B146" s="57">
        <v>243</v>
      </c>
      <c r="C146" s="35" t="s">
        <v>47</v>
      </c>
      <c r="D146" s="90" t="s">
        <v>355</v>
      </c>
      <c r="E146" s="40"/>
      <c r="F146" s="160" t="s">
        <v>619</v>
      </c>
      <c r="G146" s="161" t="s">
        <v>621</v>
      </c>
      <c r="H146" s="103" t="s">
        <v>569</v>
      </c>
      <c r="I146" s="68" t="s">
        <v>5</v>
      </c>
      <c r="J146" s="95">
        <v>12</v>
      </c>
      <c r="K146" s="312">
        <v>0</v>
      </c>
      <c r="L146" s="69">
        <f>K146*J146</f>
        <v>0</v>
      </c>
      <c r="M146" s="312">
        <v>0</v>
      </c>
      <c r="N146" s="148"/>
    </row>
    <row r="147" spans="1:14" s="74" customFormat="1" x14ac:dyDescent="0.35">
      <c r="A147" s="462"/>
      <c r="B147" s="56"/>
      <c r="C147" s="8"/>
      <c r="D147" s="8"/>
      <c r="E147" s="8"/>
      <c r="F147" s="13"/>
      <c r="G147" s="13"/>
      <c r="H147" s="103"/>
      <c r="I147" s="68"/>
      <c r="J147" s="95"/>
      <c r="K147" s="69"/>
      <c r="L147" s="69"/>
      <c r="M147" s="69"/>
      <c r="N147" s="148"/>
    </row>
    <row r="148" spans="1:14" s="74" customFormat="1" ht="15.5" x14ac:dyDescent="0.35">
      <c r="A148" s="462"/>
      <c r="B148" s="76"/>
      <c r="C148" s="77"/>
      <c r="D148" s="77"/>
      <c r="E148" s="77"/>
      <c r="F148" s="30"/>
      <c r="G148" s="31"/>
      <c r="H148" s="32" t="s">
        <v>459</v>
      </c>
      <c r="I148" s="33"/>
      <c r="J148" s="98"/>
      <c r="K148" s="34"/>
      <c r="L148" s="137">
        <f>SUM(L146:L146)</f>
        <v>0</v>
      </c>
      <c r="M148" s="137">
        <f>SUM(M146:M146)</f>
        <v>0</v>
      </c>
      <c r="N148" s="148"/>
    </row>
    <row r="149" spans="1:14" s="74" customFormat="1" x14ac:dyDescent="0.35">
      <c r="A149" s="462"/>
      <c r="B149" s="56"/>
      <c r="C149" s="8"/>
      <c r="D149" s="8"/>
      <c r="E149" s="8"/>
      <c r="F149" s="8"/>
      <c r="G149" s="8"/>
      <c r="H149" s="141"/>
      <c r="I149" s="141"/>
      <c r="J149" s="162"/>
      <c r="K149" s="141"/>
      <c r="L149" s="141"/>
      <c r="M149" s="141"/>
      <c r="N149" s="148"/>
    </row>
    <row r="150" spans="1:14" s="74" customFormat="1" ht="18.5" x14ac:dyDescent="0.35">
      <c r="A150" s="462"/>
      <c r="B150" s="57">
        <v>244</v>
      </c>
      <c r="C150" s="35" t="s">
        <v>47</v>
      </c>
      <c r="D150" s="35" t="s">
        <v>356</v>
      </c>
      <c r="E150" s="40"/>
      <c r="F150" s="160" t="s">
        <v>313</v>
      </c>
      <c r="G150" s="161" t="s">
        <v>221</v>
      </c>
      <c r="H150" s="103" t="s">
        <v>307</v>
      </c>
      <c r="I150" s="68" t="s">
        <v>5</v>
      </c>
      <c r="J150" s="95">
        <v>4</v>
      </c>
      <c r="K150" s="312">
        <v>0</v>
      </c>
      <c r="L150" s="69">
        <f>K150*J150</f>
        <v>0</v>
      </c>
      <c r="M150" s="312">
        <v>0</v>
      </c>
      <c r="N150" s="148"/>
    </row>
    <row r="151" spans="1:14" s="74" customFormat="1" x14ac:dyDescent="0.35">
      <c r="A151" s="462"/>
      <c r="B151" s="56"/>
      <c r="C151" s="8"/>
      <c r="D151" s="8"/>
      <c r="E151" s="8"/>
      <c r="F151" s="13"/>
      <c r="G151" s="13"/>
      <c r="H151" s="103"/>
      <c r="I151" s="68"/>
      <c r="J151" s="95"/>
      <c r="K151" s="69"/>
      <c r="L151" s="69"/>
      <c r="M151" s="69"/>
      <c r="N151" s="148"/>
    </row>
    <row r="152" spans="1:14" s="74" customFormat="1" ht="15.5" x14ac:dyDescent="0.35">
      <c r="A152" s="462"/>
      <c r="B152" s="76"/>
      <c r="C152" s="77"/>
      <c r="D152" s="77"/>
      <c r="E152" s="77"/>
      <c r="F152" s="30"/>
      <c r="G152" s="31"/>
      <c r="H152" s="32" t="s">
        <v>459</v>
      </c>
      <c r="I152" s="33"/>
      <c r="J152" s="98"/>
      <c r="K152" s="34"/>
      <c r="L152" s="137">
        <f>SUM(L150:L150)</f>
        <v>0</v>
      </c>
      <c r="M152" s="137">
        <f>SUM(M150:M150)</f>
        <v>0</v>
      </c>
      <c r="N152" s="148"/>
    </row>
    <row r="153" spans="1:14" s="74" customFormat="1" x14ac:dyDescent="0.35">
      <c r="A153" s="462"/>
      <c r="B153" s="56"/>
      <c r="C153" s="8"/>
      <c r="D153" s="8"/>
      <c r="E153" s="8"/>
      <c r="F153" s="8"/>
      <c r="G153" s="8"/>
      <c r="H153" s="141"/>
      <c r="I153" s="141"/>
      <c r="J153" s="162"/>
      <c r="K153" s="141"/>
      <c r="L153" s="141"/>
      <c r="M153" s="141"/>
      <c r="N153" s="148"/>
    </row>
    <row r="154" spans="1:14" s="74" customFormat="1" ht="18.5" x14ac:dyDescent="0.35">
      <c r="A154" s="462"/>
      <c r="B154" s="57">
        <v>245</v>
      </c>
      <c r="C154" s="35" t="s">
        <v>47</v>
      </c>
      <c r="D154" s="35" t="s">
        <v>357</v>
      </c>
      <c r="E154" s="40"/>
      <c r="F154" s="160" t="s">
        <v>313</v>
      </c>
      <c r="G154" s="161" t="s">
        <v>51</v>
      </c>
      <c r="H154" s="103" t="s">
        <v>563</v>
      </c>
      <c r="I154" s="68" t="s">
        <v>5</v>
      </c>
      <c r="J154" s="95">
        <v>20</v>
      </c>
      <c r="K154" s="312">
        <v>0</v>
      </c>
      <c r="L154" s="69">
        <f>K154*J154</f>
        <v>0</v>
      </c>
      <c r="M154" s="312">
        <v>0</v>
      </c>
      <c r="N154" s="148"/>
    </row>
    <row r="155" spans="1:14" s="74" customFormat="1" x14ac:dyDescent="0.35">
      <c r="A155" s="462"/>
      <c r="B155" s="56"/>
      <c r="C155" s="8"/>
      <c r="D155" s="8"/>
      <c r="E155" s="8"/>
      <c r="F155" s="13"/>
      <c r="G155" s="13"/>
      <c r="H155" s="103"/>
      <c r="I155" s="68"/>
      <c r="J155" s="95"/>
      <c r="K155" s="69"/>
      <c r="L155" s="69"/>
      <c r="M155" s="69"/>
      <c r="N155" s="148"/>
    </row>
    <row r="156" spans="1:14" s="74" customFormat="1" ht="15.5" x14ac:dyDescent="0.35">
      <c r="A156" s="462"/>
      <c r="B156" s="76"/>
      <c r="C156" s="77"/>
      <c r="D156" s="77"/>
      <c r="E156" s="77"/>
      <c r="F156" s="30"/>
      <c r="G156" s="31"/>
      <c r="H156" s="32" t="s">
        <v>459</v>
      </c>
      <c r="I156" s="33"/>
      <c r="J156" s="98"/>
      <c r="K156" s="34"/>
      <c r="L156" s="137">
        <f>SUM(L154:L154)</f>
        <v>0</v>
      </c>
      <c r="M156" s="137">
        <f>SUM(M154:M154)</f>
        <v>0</v>
      </c>
      <c r="N156" s="148"/>
    </row>
    <row r="157" spans="1:14" s="74" customFormat="1" x14ac:dyDescent="0.35">
      <c r="A157" s="462"/>
      <c r="B157" s="56"/>
      <c r="C157" s="8"/>
      <c r="D157" s="8"/>
      <c r="E157" s="8"/>
      <c r="F157" s="8"/>
      <c r="G157" s="8"/>
      <c r="H157" s="141"/>
      <c r="I157" s="141"/>
      <c r="J157" s="162"/>
      <c r="K157" s="141"/>
      <c r="L157" s="141"/>
      <c r="M157" s="141"/>
      <c r="N157" s="148"/>
    </row>
    <row r="158" spans="1:14" s="74" customFormat="1" ht="18.5" x14ac:dyDescent="0.35">
      <c r="A158" s="462"/>
      <c r="B158" s="57">
        <v>246</v>
      </c>
      <c r="C158" s="35" t="s">
        <v>47</v>
      </c>
      <c r="D158" s="35" t="s">
        <v>358</v>
      </c>
      <c r="E158" s="40"/>
      <c r="F158" s="160" t="s">
        <v>313</v>
      </c>
      <c r="G158" s="161" t="s">
        <v>301</v>
      </c>
      <c r="H158" s="103" t="s">
        <v>631</v>
      </c>
      <c r="I158" s="68" t="s">
        <v>5</v>
      </c>
      <c r="J158" s="95">
        <v>10</v>
      </c>
      <c r="K158" s="312">
        <v>0</v>
      </c>
      <c r="L158" s="69">
        <f>K158*J158</f>
        <v>0</v>
      </c>
      <c r="M158" s="312">
        <v>0</v>
      </c>
      <c r="N158" s="148"/>
    </row>
    <row r="159" spans="1:14" s="74" customFormat="1" x14ac:dyDescent="0.35">
      <c r="A159" s="462"/>
      <c r="B159" s="56"/>
      <c r="C159" s="8"/>
      <c r="D159" s="8"/>
      <c r="E159" s="8"/>
      <c r="F159" s="13"/>
      <c r="G159" s="13"/>
      <c r="H159" s="103"/>
      <c r="I159" s="68"/>
      <c r="J159" s="95"/>
      <c r="K159" s="69"/>
      <c r="L159" s="69"/>
      <c r="M159" s="69"/>
      <c r="N159" s="148"/>
    </row>
    <row r="160" spans="1:14" s="74" customFormat="1" ht="15.5" x14ac:dyDescent="0.35">
      <c r="A160" s="462"/>
      <c r="B160" s="76"/>
      <c r="C160" s="77"/>
      <c r="D160" s="77"/>
      <c r="E160" s="77"/>
      <c r="F160" s="30"/>
      <c r="G160" s="31"/>
      <c r="H160" s="32" t="s">
        <v>459</v>
      </c>
      <c r="I160" s="33"/>
      <c r="J160" s="98"/>
      <c r="K160" s="34"/>
      <c r="L160" s="137">
        <f>SUM(L158:L158)</f>
        <v>0</v>
      </c>
      <c r="M160" s="137">
        <f>SUM(M158:M158)</f>
        <v>0</v>
      </c>
      <c r="N160" s="148"/>
    </row>
    <row r="161" spans="1:14" s="74" customFormat="1" ht="15" thickBot="1" x14ac:dyDescent="0.4">
      <c r="A161" s="462"/>
      <c r="B161" s="56"/>
      <c r="C161" s="8"/>
      <c r="D161" s="8"/>
      <c r="E161" s="8"/>
      <c r="F161" s="8"/>
      <c r="G161" s="8"/>
      <c r="H161" s="141"/>
      <c r="I161" s="141"/>
      <c r="J161" s="162"/>
      <c r="K161" s="141"/>
      <c r="L161" s="141"/>
      <c r="M161" s="141"/>
      <c r="N161" s="148"/>
    </row>
    <row r="162" spans="1:14" s="74" customFormat="1" ht="19" thickBot="1" x14ac:dyDescent="0.4">
      <c r="A162" s="462"/>
      <c r="B162" s="453" t="s">
        <v>45</v>
      </c>
      <c r="C162" s="454"/>
      <c r="D162" s="454"/>
      <c r="E162" s="454"/>
      <c r="F162" s="454"/>
      <c r="G162" s="140"/>
      <c r="H162" s="140" t="s">
        <v>459</v>
      </c>
      <c r="I162" s="50"/>
      <c r="J162" s="94"/>
      <c r="K162" s="51"/>
      <c r="L162" s="52">
        <f>L160+L156+L152+L148+L144+L140</f>
        <v>0</v>
      </c>
      <c r="M162" s="53">
        <f>M160+M156+M152+M148+M144+M140</f>
        <v>0</v>
      </c>
      <c r="N162" s="148"/>
    </row>
    <row r="163" spans="1:14" s="74" customFormat="1" ht="19" thickBot="1" x14ac:dyDescent="0.4">
      <c r="A163" s="463"/>
      <c r="B163" s="58"/>
      <c r="C163" s="21"/>
      <c r="D163" s="21"/>
      <c r="E163" s="14"/>
      <c r="F163" s="15"/>
      <c r="G163" s="15"/>
      <c r="H163" s="16"/>
      <c r="I163" s="17"/>
      <c r="J163" s="96"/>
      <c r="K163" s="277"/>
      <c r="L163" s="278"/>
      <c r="M163" s="276"/>
      <c r="N163" s="148"/>
    </row>
    <row r="164" spans="1:14" s="75" customFormat="1" ht="18.5" x14ac:dyDescent="0.35">
      <c r="A164" s="472" t="s">
        <v>59</v>
      </c>
      <c r="B164" s="249"/>
      <c r="C164" s="250"/>
      <c r="D164" s="250"/>
      <c r="E164" s="251"/>
      <c r="F164" s="217"/>
      <c r="G164" s="217"/>
      <c r="H164" s="229"/>
      <c r="I164" s="211"/>
      <c r="J164" s="212"/>
      <c r="K164" s="220"/>
      <c r="L164" s="220"/>
      <c r="M164" s="220"/>
      <c r="N164" s="252"/>
    </row>
    <row r="165" spans="1:14" s="75" customFormat="1" ht="18.75" customHeight="1" x14ac:dyDescent="0.35">
      <c r="A165" s="473"/>
      <c r="B165" s="57">
        <v>247</v>
      </c>
      <c r="C165" s="35" t="s">
        <v>60</v>
      </c>
      <c r="D165" s="35" t="s">
        <v>116</v>
      </c>
      <c r="E165" s="40"/>
      <c r="F165" s="160" t="s">
        <v>395</v>
      </c>
      <c r="G165" s="216" t="s">
        <v>73</v>
      </c>
      <c r="H165" s="228" t="s">
        <v>623</v>
      </c>
      <c r="I165" s="211" t="s">
        <v>6</v>
      </c>
      <c r="J165" s="212">
        <v>1</v>
      </c>
      <c r="K165" s="312">
        <v>0</v>
      </c>
      <c r="L165" s="220">
        <f>K165*J165</f>
        <v>0</v>
      </c>
      <c r="M165" s="312">
        <v>0</v>
      </c>
      <c r="N165" s="219" t="s">
        <v>570</v>
      </c>
    </row>
    <row r="166" spans="1:14" s="75" customFormat="1" ht="18.5" x14ac:dyDescent="0.35">
      <c r="A166" s="473"/>
      <c r="B166" s="249"/>
      <c r="C166" s="250"/>
      <c r="D166" s="250"/>
      <c r="E166" s="251"/>
      <c r="F166" s="217"/>
      <c r="G166" s="216"/>
      <c r="H166" s="228" t="s">
        <v>62</v>
      </c>
      <c r="I166" s="211" t="s">
        <v>6</v>
      </c>
      <c r="J166" s="212">
        <v>1</v>
      </c>
      <c r="K166" s="312">
        <v>0</v>
      </c>
      <c r="L166" s="220">
        <f>K166*J166</f>
        <v>0</v>
      </c>
      <c r="M166" s="312">
        <v>0</v>
      </c>
      <c r="N166" s="219" t="s">
        <v>550</v>
      </c>
    </row>
    <row r="167" spans="1:14" s="75" customFormat="1" ht="72.5" x14ac:dyDescent="0.35">
      <c r="A167" s="473"/>
      <c r="B167" s="249"/>
      <c r="C167" s="250"/>
      <c r="D167" s="250"/>
      <c r="E167" s="251"/>
      <c r="F167" s="217"/>
      <c r="G167" s="216"/>
      <c r="H167" s="228" t="s">
        <v>63</v>
      </c>
      <c r="I167" s="211" t="s">
        <v>6</v>
      </c>
      <c r="J167" s="212">
        <v>1</v>
      </c>
      <c r="K167" s="312">
        <v>0</v>
      </c>
      <c r="L167" s="220">
        <f>K167*J167</f>
        <v>0</v>
      </c>
      <c r="M167" s="312">
        <v>0</v>
      </c>
      <c r="N167" s="219" t="s">
        <v>573</v>
      </c>
    </row>
    <row r="168" spans="1:14" s="75" customFormat="1" ht="18.5" x14ac:dyDescent="0.35">
      <c r="A168" s="473"/>
      <c r="B168" s="249"/>
      <c r="C168" s="250"/>
      <c r="D168" s="250"/>
      <c r="E168" s="251"/>
      <c r="F168" s="217"/>
      <c r="G168" s="216"/>
      <c r="H168" s="228" t="s">
        <v>64</v>
      </c>
      <c r="I168" s="211" t="s">
        <v>6</v>
      </c>
      <c r="J168" s="212">
        <v>1</v>
      </c>
      <c r="K168" s="312">
        <v>0</v>
      </c>
      <c r="L168" s="220">
        <f>K168*J168</f>
        <v>0</v>
      </c>
      <c r="M168" s="312">
        <v>0</v>
      </c>
      <c r="N168" s="219" t="s">
        <v>571</v>
      </c>
    </row>
    <row r="169" spans="1:14" s="75" customFormat="1" x14ac:dyDescent="0.35">
      <c r="A169" s="473"/>
      <c r="B169" s="249"/>
      <c r="C169" s="251"/>
      <c r="D169" s="251"/>
      <c r="E169" s="251"/>
      <c r="F169" s="217"/>
      <c r="G169" s="217"/>
      <c r="H169" s="228"/>
      <c r="I169" s="211"/>
      <c r="J169" s="212"/>
      <c r="K169" s="220"/>
      <c r="L169" s="220"/>
      <c r="M169" s="220"/>
      <c r="N169" s="219"/>
    </row>
    <row r="170" spans="1:14" s="75" customFormat="1" x14ac:dyDescent="0.35">
      <c r="A170" s="473"/>
      <c r="B170" s="249"/>
      <c r="C170" s="251"/>
      <c r="D170" s="251"/>
      <c r="E170" s="251"/>
      <c r="F170" s="217"/>
      <c r="G170" s="217" t="s">
        <v>74</v>
      </c>
      <c r="H170" s="228" t="s">
        <v>77</v>
      </c>
      <c r="I170" s="211" t="s">
        <v>279</v>
      </c>
      <c r="J170" s="212">
        <v>2</v>
      </c>
      <c r="K170" s="312">
        <v>0</v>
      </c>
      <c r="L170" s="229"/>
      <c r="M170" s="220">
        <f>K170*J170</f>
        <v>0</v>
      </c>
      <c r="N170" s="219"/>
    </row>
    <row r="171" spans="1:14" s="75" customFormat="1" x14ac:dyDescent="0.35">
      <c r="A171" s="473"/>
      <c r="B171" s="249"/>
      <c r="C171" s="251"/>
      <c r="D171" s="251"/>
      <c r="E171" s="251"/>
      <c r="F171" s="217"/>
      <c r="G171" s="217"/>
      <c r="H171" s="228" t="s">
        <v>78</v>
      </c>
      <c r="I171" s="211" t="s">
        <v>279</v>
      </c>
      <c r="J171" s="212">
        <v>2</v>
      </c>
      <c r="K171" s="312">
        <v>0</v>
      </c>
      <c r="L171" s="229"/>
      <c r="M171" s="220">
        <f>K171*J171</f>
        <v>0</v>
      </c>
      <c r="N171" s="219"/>
    </row>
    <row r="172" spans="1:14" s="75" customFormat="1" x14ac:dyDescent="0.35">
      <c r="A172" s="473"/>
      <c r="B172" s="249"/>
      <c r="C172" s="251"/>
      <c r="D172" s="251"/>
      <c r="E172" s="251"/>
      <c r="F172" s="217"/>
      <c r="G172" s="217"/>
      <c r="H172" s="228" t="s">
        <v>79</v>
      </c>
      <c r="I172" s="211" t="s">
        <v>279</v>
      </c>
      <c r="J172" s="212">
        <v>1</v>
      </c>
      <c r="K172" s="312">
        <v>0</v>
      </c>
      <c r="L172" s="229"/>
      <c r="M172" s="220">
        <f>K172*J172</f>
        <v>0</v>
      </c>
      <c r="N172" s="219"/>
    </row>
    <row r="173" spans="1:14" s="75" customFormat="1" x14ac:dyDescent="0.35">
      <c r="A173" s="473"/>
      <c r="B173" s="249"/>
      <c r="C173" s="251"/>
      <c r="D173" s="251"/>
      <c r="E173" s="251"/>
      <c r="F173" s="217"/>
      <c r="G173" s="217"/>
      <c r="H173" s="228"/>
      <c r="I173" s="211"/>
      <c r="J173" s="212"/>
      <c r="K173" s="220"/>
      <c r="L173" s="220"/>
      <c r="M173" s="220"/>
      <c r="N173" s="219"/>
    </row>
    <row r="174" spans="1:14" s="75" customFormat="1" ht="15.5" x14ac:dyDescent="0.35">
      <c r="A174" s="473"/>
      <c r="B174" s="260"/>
      <c r="C174" s="261"/>
      <c r="D174" s="261"/>
      <c r="E174" s="261"/>
      <c r="F174" s="265"/>
      <c r="G174" s="279"/>
      <c r="H174" s="280" t="s">
        <v>459</v>
      </c>
      <c r="I174" s="281"/>
      <c r="J174" s="282"/>
      <c r="K174" s="283"/>
      <c r="L174" s="137">
        <f>SUM(L165:L172)</f>
        <v>0</v>
      </c>
      <c r="M174" s="137">
        <f>SUM(M165:M172)</f>
        <v>0</v>
      </c>
      <c r="N174" s="219"/>
    </row>
    <row r="175" spans="1:14" s="75" customFormat="1" x14ac:dyDescent="0.35">
      <c r="A175" s="473"/>
      <c r="B175" s="249"/>
      <c r="C175" s="251"/>
      <c r="D175" s="251"/>
      <c r="E175" s="251"/>
      <c r="F175" s="263"/>
      <c r="G175" s="263"/>
      <c r="H175" s="240"/>
      <c r="I175" s="240"/>
      <c r="J175" s="267"/>
      <c r="K175" s="240"/>
      <c r="L175" s="240"/>
      <c r="M175" s="240"/>
      <c r="N175" s="219"/>
    </row>
    <row r="176" spans="1:14" s="75" customFormat="1" ht="43.5" x14ac:dyDescent="0.35">
      <c r="A176" s="473"/>
      <c r="B176" s="57">
        <v>248</v>
      </c>
      <c r="C176" s="35" t="s">
        <v>60</v>
      </c>
      <c r="D176" s="35" t="s">
        <v>117</v>
      </c>
      <c r="E176" s="40"/>
      <c r="F176" s="160" t="s">
        <v>66</v>
      </c>
      <c r="G176" s="216" t="s">
        <v>73</v>
      </c>
      <c r="H176" s="228" t="s">
        <v>701</v>
      </c>
      <c r="I176" s="211" t="s">
        <v>6</v>
      </c>
      <c r="J176" s="212">
        <v>1</v>
      </c>
      <c r="K176" s="312">
        <v>0</v>
      </c>
      <c r="L176" s="220">
        <f>K176*J176</f>
        <v>0</v>
      </c>
      <c r="M176" s="312">
        <v>0</v>
      </c>
      <c r="N176" s="219" t="s">
        <v>609</v>
      </c>
    </row>
    <row r="177" spans="1:14" s="75" customFormat="1" ht="18.5" x14ac:dyDescent="0.35">
      <c r="A177" s="473"/>
      <c r="B177" s="249"/>
      <c r="C177" s="250"/>
      <c r="D177" s="250"/>
      <c r="E177" s="251"/>
      <c r="F177" s="217"/>
      <c r="G177" s="216"/>
      <c r="H177" s="323" t="s">
        <v>729</v>
      </c>
      <c r="I177" s="211" t="s">
        <v>6</v>
      </c>
      <c r="J177" s="212">
        <v>1</v>
      </c>
      <c r="K177" s="312">
        <v>0</v>
      </c>
      <c r="L177" s="220">
        <f>K177*J177</f>
        <v>0</v>
      </c>
      <c r="M177" s="312">
        <v>0</v>
      </c>
      <c r="N177" s="219" t="s">
        <v>730</v>
      </c>
    </row>
    <row r="178" spans="1:14" s="75" customFormat="1" x14ac:dyDescent="0.35">
      <c r="A178" s="473"/>
      <c r="B178" s="249"/>
      <c r="C178" s="251"/>
      <c r="D178" s="251"/>
      <c r="E178" s="251"/>
      <c r="F178" s="217"/>
      <c r="G178" s="217"/>
      <c r="H178" s="228" t="s">
        <v>65</v>
      </c>
      <c r="I178" s="211" t="s">
        <v>6</v>
      </c>
      <c r="J178" s="212">
        <v>1</v>
      </c>
      <c r="K178" s="312">
        <v>0</v>
      </c>
      <c r="L178" s="220">
        <f>K178*J178</f>
        <v>0</v>
      </c>
      <c r="M178" s="312">
        <v>0</v>
      </c>
      <c r="N178" s="219" t="s">
        <v>565</v>
      </c>
    </row>
    <row r="179" spans="1:14" s="75" customFormat="1" x14ac:dyDescent="0.35">
      <c r="A179" s="473"/>
      <c r="B179" s="249"/>
      <c r="C179" s="251"/>
      <c r="D179" s="251"/>
      <c r="E179" s="251"/>
      <c r="F179" s="217"/>
      <c r="G179" s="217"/>
      <c r="H179" s="228"/>
      <c r="I179" s="211"/>
      <c r="J179" s="212"/>
      <c r="K179" s="220"/>
      <c r="L179" s="220"/>
      <c r="M179" s="220"/>
      <c r="N179" s="219"/>
    </row>
    <row r="180" spans="1:14" s="75" customFormat="1" x14ac:dyDescent="0.35">
      <c r="A180" s="473"/>
      <c r="B180" s="249"/>
      <c r="C180" s="251"/>
      <c r="D180" s="251"/>
      <c r="E180" s="251"/>
      <c r="F180" s="217"/>
      <c r="G180" s="217" t="s">
        <v>74</v>
      </c>
      <c r="H180" s="228" t="s">
        <v>80</v>
      </c>
      <c r="I180" s="211" t="s">
        <v>279</v>
      </c>
      <c r="J180" s="212">
        <v>3</v>
      </c>
      <c r="K180" s="312">
        <v>0</v>
      </c>
      <c r="L180" s="229"/>
      <c r="M180" s="220">
        <f>K180*J180</f>
        <v>0</v>
      </c>
      <c r="N180" s="219"/>
    </row>
    <row r="181" spans="1:14" s="75" customFormat="1" x14ac:dyDescent="0.35">
      <c r="A181" s="473"/>
      <c r="B181" s="249"/>
      <c r="C181" s="251"/>
      <c r="D181" s="251"/>
      <c r="E181" s="251"/>
      <c r="F181" s="217"/>
      <c r="G181" s="217"/>
      <c r="H181" s="228" t="s">
        <v>76</v>
      </c>
      <c r="I181" s="211" t="s">
        <v>279</v>
      </c>
      <c r="J181" s="212">
        <v>1</v>
      </c>
      <c r="K181" s="312">
        <v>0</v>
      </c>
      <c r="L181" s="229"/>
      <c r="M181" s="220">
        <f>K181*J181</f>
        <v>0</v>
      </c>
      <c r="N181" s="219"/>
    </row>
    <row r="182" spans="1:14" s="75" customFormat="1" x14ac:dyDescent="0.35">
      <c r="A182" s="473"/>
      <c r="B182" s="249"/>
      <c r="C182" s="251"/>
      <c r="D182" s="251"/>
      <c r="E182" s="251"/>
      <c r="F182" s="217"/>
      <c r="G182" s="217"/>
      <c r="H182" s="228"/>
      <c r="I182" s="211"/>
      <c r="J182" s="212"/>
      <c r="K182" s="220"/>
      <c r="L182" s="220"/>
      <c r="M182" s="220"/>
      <c r="N182" s="219"/>
    </row>
    <row r="183" spans="1:14" s="75" customFormat="1" ht="15.5" x14ac:dyDescent="0.35">
      <c r="A183" s="480"/>
      <c r="B183" s="260"/>
      <c r="C183" s="261"/>
      <c r="D183" s="261"/>
      <c r="E183" s="261"/>
      <c r="F183" s="262"/>
      <c r="G183" s="255"/>
      <c r="H183" s="234" t="s">
        <v>459</v>
      </c>
      <c r="I183" s="256"/>
      <c r="J183" s="257"/>
      <c r="K183" s="258"/>
      <c r="L183" s="137">
        <f>SUM(L176:L181)</f>
        <v>0</v>
      </c>
      <c r="M183" s="137">
        <f>SUM(M176:M181)</f>
        <v>0</v>
      </c>
      <c r="N183" s="219"/>
    </row>
    <row r="184" spans="1:14" s="75" customFormat="1" x14ac:dyDescent="0.35">
      <c r="A184" s="480"/>
      <c r="B184" s="249"/>
      <c r="C184" s="251"/>
      <c r="D184" s="251"/>
      <c r="E184" s="251"/>
      <c r="F184" s="263"/>
      <c r="G184" s="263"/>
      <c r="H184" s="240"/>
      <c r="I184" s="240"/>
      <c r="J184" s="267"/>
      <c r="K184" s="240"/>
      <c r="L184" s="240"/>
      <c r="M184" s="240"/>
      <c r="N184" s="219"/>
    </row>
    <row r="185" spans="1:14" s="75" customFormat="1" ht="29" x14ac:dyDescent="0.35">
      <c r="A185" s="480"/>
      <c r="B185" s="57">
        <v>249</v>
      </c>
      <c r="C185" s="35" t="s">
        <v>60</v>
      </c>
      <c r="D185" s="35" t="s">
        <v>118</v>
      </c>
      <c r="E185" s="40"/>
      <c r="F185" s="160" t="s">
        <v>109</v>
      </c>
      <c r="G185" s="216" t="s">
        <v>73</v>
      </c>
      <c r="H185" s="213" t="s">
        <v>700</v>
      </c>
      <c r="I185" s="211" t="s">
        <v>6</v>
      </c>
      <c r="J185" s="212">
        <v>3</v>
      </c>
      <c r="K185" s="312">
        <v>0</v>
      </c>
      <c r="L185" s="220">
        <f>K185*J185</f>
        <v>0</v>
      </c>
      <c r="M185" s="312">
        <v>0</v>
      </c>
      <c r="N185" s="219" t="s">
        <v>633</v>
      </c>
    </row>
    <row r="186" spans="1:14" s="75" customFormat="1" ht="18.5" x14ac:dyDescent="0.35">
      <c r="A186" s="480"/>
      <c r="B186" s="249"/>
      <c r="C186" s="259"/>
      <c r="D186" s="259"/>
      <c r="E186" s="251"/>
      <c r="F186" s="241"/>
      <c r="G186" s="216"/>
      <c r="H186" s="228"/>
      <c r="I186" s="211"/>
      <c r="J186" s="212"/>
      <c r="K186" s="220"/>
      <c r="L186" s="220"/>
      <c r="M186" s="220"/>
      <c r="N186" s="219"/>
    </row>
    <row r="187" spans="1:14" s="75" customFormat="1" x14ac:dyDescent="0.35">
      <c r="A187" s="480"/>
      <c r="B187" s="249"/>
      <c r="C187" s="251"/>
      <c r="D187" s="251"/>
      <c r="E187" s="251"/>
      <c r="F187" s="217"/>
      <c r="G187" s="217" t="s">
        <v>74</v>
      </c>
      <c r="H187" s="228" t="s">
        <v>110</v>
      </c>
      <c r="I187" s="211" t="s">
        <v>279</v>
      </c>
      <c r="J187" s="212">
        <v>1</v>
      </c>
      <c r="K187" s="312">
        <v>0</v>
      </c>
      <c r="L187" s="229"/>
      <c r="M187" s="220">
        <f>K187*J187</f>
        <v>0</v>
      </c>
      <c r="N187" s="219"/>
    </row>
    <row r="188" spans="1:14" s="75" customFormat="1" x14ac:dyDescent="0.35">
      <c r="A188" s="480"/>
      <c r="B188" s="249"/>
      <c r="C188" s="251"/>
      <c r="D188" s="251"/>
      <c r="E188" s="251"/>
      <c r="F188" s="217"/>
      <c r="G188" s="217"/>
      <c r="H188" s="228" t="s">
        <v>113</v>
      </c>
      <c r="I188" s="211" t="s">
        <v>279</v>
      </c>
      <c r="J188" s="212">
        <v>1</v>
      </c>
      <c r="K188" s="312">
        <v>0</v>
      </c>
      <c r="L188" s="229"/>
      <c r="M188" s="220">
        <f>K188*J188</f>
        <v>0</v>
      </c>
      <c r="N188" s="219"/>
    </row>
    <row r="189" spans="1:14" s="75" customFormat="1" ht="18.5" x14ac:dyDescent="0.35">
      <c r="A189" s="480"/>
      <c r="B189" s="249"/>
      <c r="C189" s="250"/>
      <c r="D189" s="250"/>
      <c r="E189" s="251"/>
      <c r="F189" s="217"/>
      <c r="G189" s="217"/>
      <c r="H189" s="228"/>
      <c r="I189" s="211"/>
      <c r="J189" s="212"/>
      <c r="K189" s="220"/>
      <c r="L189" s="229"/>
      <c r="M189" s="220"/>
      <c r="N189" s="219"/>
    </row>
    <row r="190" spans="1:14" s="75" customFormat="1" ht="15.5" x14ac:dyDescent="0.35">
      <c r="A190" s="480"/>
      <c r="B190" s="260"/>
      <c r="C190" s="261"/>
      <c r="D190" s="261"/>
      <c r="E190" s="261"/>
      <c r="F190" s="262"/>
      <c r="G190" s="255"/>
      <c r="H190" s="234" t="s">
        <v>459</v>
      </c>
      <c r="I190" s="256"/>
      <c r="J190" s="257"/>
      <c r="K190" s="258"/>
      <c r="L190" s="137">
        <f>SUM(L185:L189)</f>
        <v>0</v>
      </c>
      <c r="M190" s="137">
        <f>SUM(M185:M189)</f>
        <v>0</v>
      </c>
      <c r="N190" s="219"/>
    </row>
    <row r="191" spans="1:14" s="135" customFormat="1" x14ac:dyDescent="0.35">
      <c r="A191" s="480"/>
      <c r="B191" s="249"/>
      <c r="C191" s="251"/>
      <c r="D191" s="251"/>
      <c r="E191" s="251"/>
      <c r="F191" s="263"/>
      <c r="G191" s="263"/>
      <c r="H191" s="240"/>
      <c r="I191" s="211"/>
      <c r="J191" s="212"/>
      <c r="K191" s="220"/>
      <c r="L191" s="240"/>
      <c r="M191" s="240"/>
      <c r="N191" s="253"/>
    </row>
    <row r="192" spans="1:14" s="135" customFormat="1" ht="18.5" x14ac:dyDescent="0.35">
      <c r="A192" s="480"/>
      <c r="B192" s="57">
        <v>250</v>
      </c>
      <c r="C192" s="35" t="s">
        <v>60</v>
      </c>
      <c r="D192" s="35" t="s">
        <v>122</v>
      </c>
      <c r="E192" s="40"/>
      <c r="F192" s="160" t="s">
        <v>428</v>
      </c>
      <c r="G192" s="216" t="s">
        <v>73</v>
      </c>
      <c r="H192" s="228" t="s">
        <v>429</v>
      </c>
      <c r="I192" s="211" t="s">
        <v>6</v>
      </c>
      <c r="J192" s="212">
        <v>1</v>
      </c>
      <c r="K192" s="312">
        <v>0</v>
      </c>
      <c r="L192" s="220">
        <f>K192*J192</f>
        <v>0</v>
      </c>
      <c r="M192" s="312">
        <v>0</v>
      </c>
      <c r="N192" s="253"/>
    </row>
    <row r="193" spans="1:14" s="135" customFormat="1" x14ac:dyDescent="0.35">
      <c r="A193" s="480"/>
      <c r="B193" s="249"/>
      <c r="C193" s="251"/>
      <c r="D193" s="251"/>
      <c r="E193" s="251"/>
      <c r="F193" s="217"/>
      <c r="G193" s="217"/>
      <c r="H193" s="228"/>
      <c r="I193" s="211"/>
      <c r="J193" s="212"/>
      <c r="K193" s="220"/>
      <c r="L193" s="220"/>
      <c r="M193" s="220"/>
      <c r="N193" s="219"/>
    </row>
    <row r="194" spans="1:14" s="135" customFormat="1" ht="15.5" x14ac:dyDescent="0.35">
      <c r="A194" s="480"/>
      <c r="B194" s="260"/>
      <c r="C194" s="261"/>
      <c r="D194" s="261"/>
      <c r="E194" s="261"/>
      <c r="F194" s="262"/>
      <c r="G194" s="255"/>
      <c r="H194" s="234" t="s">
        <v>459</v>
      </c>
      <c r="I194" s="256"/>
      <c r="J194" s="257"/>
      <c r="K194" s="258"/>
      <c r="L194" s="137">
        <f>SUM(L192)</f>
        <v>0</v>
      </c>
      <c r="M194" s="137">
        <f>SUM(M192)</f>
        <v>0</v>
      </c>
      <c r="N194" s="219"/>
    </row>
    <row r="195" spans="1:14" s="75" customFormat="1" ht="15" thickBot="1" x14ac:dyDescent="0.4">
      <c r="A195" s="480"/>
      <c r="B195" s="59"/>
      <c r="C195" s="61"/>
      <c r="D195" s="61"/>
      <c r="E195" s="61"/>
      <c r="F195" s="61"/>
      <c r="G195" s="61"/>
      <c r="H195" s="166"/>
      <c r="I195" s="166"/>
      <c r="J195" s="167"/>
      <c r="K195" s="166"/>
      <c r="L195" s="166"/>
      <c r="M195" s="166"/>
      <c r="N195" s="219"/>
    </row>
    <row r="196" spans="1:14" s="75" customFormat="1" ht="19" thickBot="1" x14ac:dyDescent="0.4">
      <c r="A196" s="480"/>
      <c r="B196" s="453" t="s">
        <v>56</v>
      </c>
      <c r="C196" s="454"/>
      <c r="D196" s="454"/>
      <c r="E196" s="454"/>
      <c r="F196" s="454"/>
      <c r="G196" s="140"/>
      <c r="H196" s="140" t="s">
        <v>459</v>
      </c>
      <c r="I196" s="50"/>
      <c r="J196" s="94"/>
      <c r="K196" s="51"/>
      <c r="L196" s="52">
        <f>L190+L183+L174+L194</f>
        <v>0</v>
      </c>
      <c r="M196" s="53">
        <f>M190+M183+M174+M194</f>
        <v>0</v>
      </c>
      <c r="N196" s="219"/>
    </row>
    <row r="197" spans="1:14" ht="19" thickBot="1" x14ac:dyDescent="0.4">
      <c r="A197" s="481"/>
      <c r="B197" s="58"/>
      <c r="C197" s="21"/>
      <c r="D197" s="21"/>
      <c r="E197" s="14"/>
      <c r="F197" s="15"/>
      <c r="G197" s="15"/>
      <c r="H197" s="16"/>
      <c r="I197" s="17"/>
      <c r="J197" s="96"/>
      <c r="K197" s="277"/>
      <c r="L197" s="278"/>
      <c r="M197" s="276"/>
      <c r="N197" s="254"/>
    </row>
    <row r="198" spans="1:14" ht="18.5" x14ac:dyDescent="0.35">
      <c r="A198" s="482" t="s">
        <v>71</v>
      </c>
      <c r="B198" s="56"/>
      <c r="C198" s="20"/>
      <c r="D198" s="20"/>
      <c r="E198" s="8"/>
      <c r="F198" s="13"/>
      <c r="G198" s="13"/>
      <c r="H198" s="141"/>
      <c r="I198" s="68"/>
      <c r="J198" s="95"/>
      <c r="K198" s="69"/>
      <c r="L198" s="69"/>
      <c r="M198" s="69"/>
      <c r="N198" s="146"/>
    </row>
    <row r="199" spans="1:14" ht="18.75" customHeight="1" x14ac:dyDescent="0.35">
      <c r="A199" s="462"/>
      <c r="B199" s="57">
        <v>251</v>
      </c>
      <c r="C199" s="35" t="s">
        <v>72</v>
      </c>
      <c r="D199" s="35" t="s">
        <v>116</v>
      </c>
      <c r="E199" s="40"/>
      <c r="F199" s="160" t="s">
        <v>128</v>
      </c>
      <c r="G199" s="161"/>
      <c r="H199" s="103" t="s">
        <v>85</v>
      </c>
      <c r="I199" s="68" t="s">
        <v>6</v>
      </c>
      <c r="J199" s="95">
        <v>1</v>
      </c>
      <c r="K199" s="312">
        <v>0</v>
      </c>
      <c r="L199" s="69">
        <f>K199*J199</f>
        <v>0</v>
      </c>
      <c r="M199" s="69"/>
      <c r="N199" s="219" t="s">
        <v>130</v>
      </c>
    </row>
    <row r="200" spans="1:14" x14ac:dyDescent="0.35">
      <c r="A200" s="462"/>
      <c r="B200" s="56"/>
      <c r="C200" s="8"/>
      <c r="D200" s="8"/>
      <c r="E200" s="8"/>
      <c r="F200" s="13"/>
      <c r="G200" s="13"/>
      <c r="H200" s="103"/>
      <c r="I200" s="68"/>
      <c r="J200" s="95"/>
      <c r="K200" s="69"/>
      <c r="L200" s="69"/>
      <c r="M200" s="69"/>
      <c r="N200" s="148"/>
    </row>
    <row r="201" spans="1:14" ht="15.5" x14ac:dyDescent="0.35">
      <c r="A201" s="462"/>
      <c r="B201" s="76"/>
      <c r="C201" s="77"/>
      <c r="D201" s="77"/>
      <c r="E201" s="77"/>
      <c r="F201" s="30"/>
      <c r="G201" s="31"/>
      <c r="H201" s="32" t="s">
        <v>459</v>
      </c>
      <c r="I201" s="33"/>
      <c r="J201" s="98"/>
      <c r="K201" s="34"/>
      <c r="L201" s="137">
        <f>SUM(L199:L199)</f>
        <v>0</v>
      </c>
      <c r="M201" s="137">
        <f>SUM(M199:M199)</f>
        <v>0</v>
      </c>
      <c r="N201" s="148"/>
    </row>
    <row r="202" spans="1:14" ht="15.5" x14ac:dyDescent="0.35">
      <c r="A202" s="462"/>
      <c r="B202" s="56"/>
      <c r="C202" s="8"/>
      <c r="D202" s="8"/>
      <c r="E202" s="8"/>
      <c r="F202" s="25"/>
      <c r="G202" s="64"/>
      <c r="H202" s="65"/>
      <c r="I202" s="66"/>
      <c r="J202" s="102"/>
      <c r="K202" s="67"/>
      <c r="L202" s="170"/>
      <c r="M202" s="170"/>
      <c r="N202" s="148"/>
    </row>
    <row r="203" spans="1:14" ht="18.75" customHeight="1" x14ac:dyDescent="0.35">
      <c r="A203" s="462"/>
      <c r="B203" s="57">
        <v>252</v>
      </c>
      <c r="C203" s="35" t="s">
        <v>72</v>
      </c>
      <c r="D203" s="35" t="s">
        <v>117</v>
      </c>
      <c r="E203" s="40"/>
      <c r="F203" s="160" t="s">
        <v>127</v>
      </c>
      <c r="G203" s="161"/>
      <c r="H203" s="103" t="s">
        <v>85</v>
      </c>
      <c r="I203" s="68" t="s">
        <v>6</v>
      </c>
      <c r="J203" s="95">
        <v>1</v>
      </c>
      <c r="K203" s="312">
        <v>0</v>
      </c>
      <c r="L203" s="69">
        <f>K203*J203</f>
        <v>0</v>
      </c>
      <c r="M203" s="69"/>
      <c r="N203" s="219" t="s">
        <v>130</v>
      </c>
    </row>
    <row r="204" spans="1:14" x14ac:dyDescent="0.35">
      <c r="A204" s="462"/>
      <c r="B204" s="56"/>
      <c r="C204" s="8"/>
      <c r="D204" s="8"/>
      <c r="E204" s="8"/>
      <c r="F204" s="13"/>
      <c r="G204" s="13"/>
      <c r="H204" s="103"/>
      <c r="I204" s="68"/>
      <c r="J204" s="95"/>
      <c r="K204" s="69"/>
      <c r="L204" s="69"/>
      <c r="M204" s="69"/>
      <c r="N204" s="148"/>
    </row>
    <row r="205" spans="1:14" ht="15.5" x14ac:dyDescent="0.35">
      <c r="A205" s="462"/>
      <c r="B205" s="76"/>
      <c r="C205" s="77"/>
      <c r="D205" s="77"/>
      <c r="E205" s="77"/>
      <c r="F205" s="30"/>
      <c r="G205" s="31"/>
      <c r="H205" s="32" t="s">
        <v>459</v>
      </c>
      <c r="I205" s="33"/>
      <c r="J205" s="98"/>
      <c r="K205" s="34"/>
      <c r="L205" s="137">
        <f>SUM(L203:L203)</f>
        <v>0</v>
      </c>
      <c r="M205" s="137">
        <f>SUM(M203:M203)</f>
        <v>0</v>
      </c>
      <c r="N205" s="148"/>
    </row>
    <row r="206" spans="1:14" ht="15" thickBot="1" x14ac:dyDescent="0.4">
      <c r="A206" s="462"/>
      <c r="B206" s="56"/>
      <c r="C206" s="8"/>
      <c r="D206" s="8"/>
      <c r="E206" s="8"/>
      <c r="F206" s="8"/>
      <c r="G206" s="8"/>
      <c r="H206" s="141"/>
      <c r="I206" s="141"/>
      <c r="J206" s="162"/>
      <c r="K206" s="141"/>
      <c r="L206" s="141"/>
      <c r="M206" s="141"/>
      <c r="N206" s="148"/>
    </row>
    <row r="207" spans="1:14" ht="19" thickBot="1" x14ac:dyDescent="0.4">
      <c r="A207" s="462"/>
      <c r="B207" s="453" t="s">
        <v>57</v>
      </c>
      <c r="C207" s="454"/>
      <c r="D207" s="454"/>
      <c r="E207" s="454"/>
      <c r="F207" s="454"/>
      <c r="G207" s="140"/>
      <c r="H207" s="140" t="s">
        <v>459</v>
      </c>
      <c r="I207" s="50"/>
      <c r="J207" s="94"/>
      <c r="K207" s="51"/>
      <c r="L207" s="52">
        <f>L201+L205</f>
        <v>0</v>
      </c>
      <c r="M207" s="53">
        <f>M201+M205</f>
        <v>0</v>
      </c>
      <c r="N207" s="171"/>
    </row>
    <row r="208" spans="1:14" ht="19" thickBot="1" x14ac:dyDescent="0.4">
      <c r="A208" s="463"/>
      <c r="B208" s="58"/>
      <c r="C208" s="21"/>
      <c r="D208" s="21"/>
      <c r="E208" s="14"/>
      <c r="F208" s="15"/>
      <c r="G208" s="15"/>
      <c r="H208" s="16"/>
      <c r="I208" s="17"/>
      <c r="J208" s="96"/>
      <c r="K208" s="277"/>
      <c r="L208" s="278"/>
      <c r="M208" s="276"/>
      <c r="N208" s="149"/>
    </row>
    <row r="209" spans="1:14" x14ac:dyDescent="0.35">
      <c r="J209" s="99"/>
    </row>
    <row r="210" spans="1:14" x14ac:dyDescent="0.35">
      <c r="A210" s="238"/>
      <c r="B210" s="330"/>
      <c r="C210" s="330"/>
      <c r="D210" s="330"/>
      <c r="E210" s="330"/>
      <c r="F210" s="330"/>
      <c r="G210" s="330"/>
      <c r="H210" s="330"/>
      <c r="I210" s="330"/>
      <c r="J210" s="330"/>
      <c r="K210" s="330"/>
      <c r="L210" s="330"/>
      <c r="M210" s="330"/>
      <c r="N210" s="330"/>
    </row>
    <row r="211" spans="1:14" x14ac:dyDescent="0.35">
      <c r="J211" s="99"/>
    </row>
    <row r="212" spans="1:14" x14ac:dyDescent="0.35">
      <c r="J212" s="99"/>
    </row>
    <row r="213" spans="1:14" x14ac:dyDescent="0.35">
      <c r="J213" s="99"/>
    </row>
    <row r="214" spans="1:14" x14ac:dyDescent="0.35">
      <c r="J214" s="99"/>
    </row>
    <row r="215" spans="1:14" x14ac:dyDescent="0.35">
      <c r="J215" s="99"/>
    </row>
    <row r="216" spans="1:14" x14ac:dyDescent="0.35">
      <c r="J216" s="99"/>
    </row>
    <row r="217" spans="1:14" x14ac:dyDescent="0.35">
      <c r="J217" s="99"/>
    </row>
    <row r="218" spans="1:14" x14ac:dyDescent="0.35">
      <c r="J218" s="99"/>
    </row>
    <row r="219" spans="1:14" x14ac:dyDescent="0.35">
      <c r="J219" s="99"/>
    </row>
    <row r="220" spans="1:14" x14ac:dyDescent="0.35">
      <c r="J220" s="99"/>
    </row>
    <row r="221" spans="1:14" x14ac:dyDescent="0.35">
      <c r="J221" s="99"/>
    </row>
    <row r="222" spans="1:14" x14ac:dyDescent="0.35">
      <c r="J222" s="99"/>
    </row>
    <row r="223" spans="1:14" x14ac:dyDescent="0.35">
      <c r="J223" s="99"/>
    </row>
    <row r="224" spans="1:14" x14ac:dyDescent="0.35">
      <c r="J224" s="99"/>
    </row>
    <row r="225" spans="10:10" x14ac:dyDescent="0.35">
      <c r="J225" s="99"/>
    </row>
    <row r="226" spans="10:10" x14ac:dyDescent="0.35">
      <c r="J226" s="99"/>
    </row>
    <row r="227" spans="10:10" x14ac:dyDescent="0.35">
      <c r="J227" s="99"/>
    </row>
    <row r="228" spans="10:10" x14ac:dyDescent="0.35">
      <c r="J228" s="99"/>
    </row>
    <row r="229" spans="10:10" x14ac:dyDescent="0.35">
      <c r="J229" s="99"/>
    </row>
    <row r="230" spans="10:10" x14ac:dyDescent="0.35">
      <c r="J230" s="99"/>
    </row>
    <row r="231" spans="10:10" x14ac:dyDescent="0.35">
      <c r="J231" s="99"/>
    </row>
    <row r="232" spans="10:10" x14ac:dyDescent="0.35">
      <c r="J232" s="99"/>
    </row>
    <row r="233" spans="10:10" x14ac:dyDescent="0.35">
      <c r="J233" s="99"/>
    </row>
    <row r="234" spans="10:10" x14ac:dyDescent="0.35">
      <c r="J234" s="99"/>
    </row>
    <row r="235" spans="10:10" x14ac:dyDescent="0.35">
      <c r="J235" s="99"/>
    </row>
    <row r="236" spans="10:10" x14ac:dyDescent="0.35">
      <c r="J236" s="99"/>
    </row>
    <row r="237" spans="10:10" x14ac:dyDescent="0.35">
      <c r="J237" s="99"/>
    </row>
    <row r="238" spans="10:10" x14ac:dyDescent="0.35">
      <c r="J238" s="99"/>
    </row>
    <row r="239" spans="10:10" x14ac:dyDescent="0.35">
      <c r="J239" s="99"/>
    </row>
    <row r="240" spans="10:10" x14ac:dyDescent="0.35">
      <c r="J240" s="99"/>
    </row>
    <row r="241" spans="10:10" x14ac:dyDescent="0.35">
      <c r="J241" s="99"/>
    </row>
    <row r="242" spans="10:10" x14ac:dyDescent="0.35">
      <c r="J242" s="99"/>
    </row>
    <row r="243" spans="10:10" x14ac:dyDescent="0.35">
      <c r="J243" s="99"/>
    </row>
    <row r="244" spans="10:10" x14ac:dyDescent="0.35">
      <c r="J244" s="99"/>
    </row>
    <row r="245" spans="10:10" x14ac:dyDescent="0.35">
      <c r="J245" s="99"/>
    </row>
    <row r="246" spans="10:10" x14ac:dyDescent="0.35">
      <c r="J246" s="99"/>
    </row>
    <row r="247" spans="10:10" x14ac:dyDescent="0.35">
      <c r="J247" s="99"/>
    </row>
    <row r="248" spans="10:10" x14ac:dyDescent="0.35">
      <c r="J248" s="99"/>
    </row>
    <row r="249" spans="10:10" x14ac:dyDescent="0.35">
      <c r="J249" s="99"/>
    </row>
    <row r="250" spans="10:10" x14ac:dyDescent="0.35">
      <c r="J250" s="99"/>
    </row>
    <row r="251" spans="10:10" x14ac:dyDescent="0.35">
      <c r="J251" s="99"/>
    </row>
    <row r="252" spans="10:10" x14ac:dyDescent="0.35">
      <c r="J252" s="99"/>
    </row>
    <row r="253" spans="10:10" x14ac:dyDescent="0.35">
      <c r="J253" s="99"/>
    </row>
    <row r="254" spans="10:10" x14ac:dyDescent="0.35">
      <c r="J254" s="99"/>
    </row>
    <row r="255" spans="10:10" x14ac:dyDescent="0.35">
      <c r="J255" s="99"/>
    </row>
    <row r="256" spans="10:10" x14ac:dyDescent="0.35">
      <c r="J256" s="99"/>
    </row>
    <row r="257" spans="10:10" x14ac:dyDescent="0.35">
      <c r="J257" s="99"/>
    </row>
    <row r="258" spans="10:10" x14ac:dyDescent="0.35">
      <c r="J258" s="99"/>
    </row>
    <row r="259" spans="10:10" x14ac:dyDescent="0.35">
      <c r="J259" s="99"/>
    </row>
    <row r="260" spans="10:10" x14ac:dyDescent="0.35">
      <c r="J260" s="99"/>
    </row>
    <row r="261" spans="10:10" x14ac:dyDescent="0.35">
      <c r="J261" s="99"/>
    </row>
    <row r="262" spans="10:10" x14ac:dyDescent="0.35">
      <c r="J262" s="99"/>
    </row>
    <row r="263" spans="10:10" x14ac:dyDescent="0.35">
      <c r="J263" s="99"/>
    </row>
    <row r="264" spans="10:10" x14ac:dyDescent="0.35">
      <c r="J264" s="99"/>
    </row>
    <row r="265" spans="10:10" x14ac:dyDescent="0.35">
      <c r="J265" s="99"/>
    </row>
    <row r="266" spans="10:10" x14ac:dyDescent="0.35">
      <c r="J266" s="99"/>
    </row>
    <row r="267" spans="10:10" x14ac:dyDescent="0.35">
      <c r="J267" s="99"/>
    </row>
    <row r="268" spans="10:10" x14ac:dyDescent="0.35">
      <c r="J268" s="99"/>
    </row>
    <row r="269" spans="10:10" x14ac:dyDescent="0.35">
      <c r="J269" s="99"/>
    </row>
    <row r="270" spans="10:10" x14ac:dyDescent="0.35">
      <c r="J270" s="99"/>
    </row>
    <row r="271" spans="10:10" x14ac:dyDescent="0.35">
      <c r="J271" s="99"/>
    </row>
    <row r="272" spans="10:10" x14ac:dyDescent="0.35">
      <c r="J272" s="99"/>
    </row>
    <row r="273" spans="10:10" x14ac:dyDescent="0.35">
      <c r="J273" s="99"/>
    </row>
    <row r="274" spans="10:10" x14ac:dyDescent="0.35">
      <c r="J274" s="99"/>
    </row>
    <row r="275" spans="10:10" x14ac:dyDescent="0.35">
      <c r="J275" s="99"/>
    </row>
    <row r="276" spans="10:10" x14ac:dyDescent="0.35">
      <c r="J276" s="99"/>
    </row>
    <row r="277" spans="10:10" x14ac:dyDescent="0.35">
      <c r="J277" s="99"/>
    </row>
    <row r="278" spans="10:10" x14ac:dyDescent="0.35">
      <c r="J278" s="99"/>
    </row>
    <row r="279" spans="10:10" x14ac:dyDescent="0.35">
      <c r="J279" s="99"/>
    </row>
    <row r="280" spans="10:10" x14ac:dyDescent="0.35">
      <c r="J280" s="99"/>
    </row>
    <row r="281" spans="10:10" x14ac:dyDescent="0.35">
      <c r="J281" s="99"/>
    </row>
    <row r="282" spans="10:10" x14ac:dyDescent="0.35">
      <c r="J282" s="99"/>
    </row>
    <row r="283" spans="10:10" x14ac:dyDescent="0.35">
      <c r="J283" s="99"/>
    </row>
    <row r="284" spans="10:10" x14ac:dyDescent="0.35">
      <c r="J284" s="99"/>
    </row>
    <row r="285" spans="10:10" x14ac:dyDescent="0.35">
      <c r="J285" s="99"/>
    </row>
    <row r="286" spans="10:10" x14ac:dyDescent="0.35">
      <c r="J286" s="99"/>
    </row>
    <row r="287" spans="10:10" x14ac:dyDescent="0.35">
      <c r="J287" s="99"/>
    </row>
    <row r="288" spans="10:10" x14ac:dyDescent="0.35">
      <c r="J288" s="99"/>
    </row>
    <row r="289" spans="10:10" x14ac:dyDescent="0.35">
      <c r="J289" s="99"/>
    </row>
    <row r="290" spans="10:10" x14ac:dyDescent="0.35">
      <c r="J290" s="99"/>
    </row>
    <row r="291" spans="10:10" x14ac:dyDescent="0.35">
      <c r="J291" s="99"/>
    </row>
    <row r="292" spans="10:10" x14ac:dyDescent="0.35">
      <c r="J292" s="99"/>
    </row>
    <row r="293" spans="10:10" x14ac:dyDescent="0.35">
      <c r="J293" s="99"/>
    </row>
  </sheetData>
  <sheetProtection sheet="1" objects="1" scenarios="1"/>
  <mergeCells count="22">
    <mergeCell ref="A9:G9"/>
    <mergeCell ref="A2:N2"/>
    <mergeCell ref="A5:G5"/>
    <mergeCell ref="A6:G6"/>
    <mergeCell ref="A7:G7"/>
    <mergeCell ref="A8:G8"/>
    <mergeCell ref="A10:G10"/>
    <mergeCell ref="F14:G14"/>
    <mergeCell ref="B27:F27"/>
    <mergeCell ref="A29:A117"/>
    <mergeCell ref="B116:F116"/>
    <mergeCell ref="A16:A28"/>
    <mergeCell ref="C14:D14"/>
    <mergeCell ref="A11:K11"/>
    <mergeCell ref="A198:A208"/>
    <mergeCell ref="B207:F207"/>
    <mergeCell ref="A118:A136"/>
    <mergeCell ref="B135:F135"/>
    <mergeCell ref="A164:A197"/>
    <mergeCell ref="B196:F196"/>
    <mergeCell ref="A137:A163"/>
    <mergeCell ref="B162:F162"/>
  </mergeCells>
  <pageMargins left="0.23622047244094491" right="0.23622047244094491" top="0.19685039370078741" bottom="0.27559055118110237" header="0.19685039370078741" footer="0.11811023622047245"/>
  <pageSetup paperSize="9" scale="43" firstPageNumber="34" fitToHeight="0" orientation="landscape" useFirstPageNumber="1" horizontalDpi="1200" verticalDpi="1200" r:id="rId1"/>
  <headerFooter>
    <oddFooter>&amp;C&amp;P/43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N289"/>
  <sheetViews>
    <sheetView view="pageLayout" zoomScale="40" zoomScaleNormal="70" zoomScalePageLayoutView="40" workbookViewId="0">
      <selection activeCell="K17" sqref="K17"/>
    </sheetView>
  </sheetViews>
  <sheetFormatPr defaultColWidth="9.1796875" defaultRowHeight="14.5" x14ac:dyDescent="0.35"/>
  <cols>
    <col min="1" max="1" width="5" style="43" customWidth="1"/>
    <col min="2" max="2" width="5.7265625" style="54" customWidth="1"/>
    <col min="3" max="3" width="5.81640625" style="6" customWidth="1"/>
    <col min="4" max="4" width="7" style="6" customWidth="1"/>
    <col min="5" max="5" width="3.7265625" style="6" customWidth="1"/>
    <col min="6" max="6" width="50.7265625" style="6" customWidth="1"/>
    <col min="7" max="7" width="20.26953125" style="6" customWidth="1"/>
    <col min="8" max="8" width="55.7265625" style="43" customWidth="1"/>
    <col min="9" max="11" width="13.7265625" style="43" customWidth="1"/>
    <col min="12" max="13" width="25.7265625" style="43" customWidth="1"/>
    <col min="14" max="14" width="85.7265625" style="43" customWidth="1"/>
    <col min="15" max="15" width="13.7265625" style="43" customWidth="1"/>
    <col min="16" max="16384" width="9.1796875" style="43"/>
  </cols>
  <sheetData>
    <row r="2" spans="1:14" s="151" customFormat="1" ht="35.15" customHeight="1" x14ac:dyDescent="0.35">
      <c r="A2" s="467" t="s">
        <v>756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</row>
    <row r="3" spans="1:14" s="151" customFormat="1" ht="10" customHeight="1" thickBot="1" x14ac:dyDescent="0.4">
      <c r="A3" s="264"/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156"/>
      <c r="M3" s="156"/>
      <c r="N3" s="156"/>
    </row>
    <row r="4" spans="1:14" ht="26.5" thickBot="1" x14ac:dyDescent="0.4">
      <c r="A4" s="242"/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153" t="s">
        <v>7</v>
      </c>
      <c r="M4" s="153" t="s">
        <v>8</v>
      </c>
      <c r="N4" s="152"/>
    </row>
    <row r="5" spans="1:14" ht="18.5" x14ac:dyDescent="0.35">
      <c r="A5" s="457" t="s">
        <v>55</v>
      </c>
      <c r="B5" s="458"/>
      <c r="C5" s="458"/>
      <c r="D5" s="458"/>
      <c r="E5" s="458"/>
      <c r="F5" s="458"/>
      <c r="G5" s="458"/>
      <c r="H5" s="243"/>
      <c r="I5" s="243"/>
      <c r="J5" s="243"/>
      <c r="K5" s="243"/>
      <c r="L5" s="154">
        <f>L23</f>
        <v>0</v>
      </c>
      <c r="M5" s="154">
        <f>M23</f>
        <v>0</v>
      </c>
      <c r="N5" s="152"/>
    </row>
    <row r="6" spans="1:14" ht="18.5" x14ac:dyDescent="0.35">
      <c r="A6" s="457" t="s">
        <v>37</v>
      </c>
      <c r="B6" s="458"/>
      <c r="C6" s="458"/>
      <c r="D6" s="458"/>
      <c r="E6" s="458"/>
      <c r="F6" s="458"/>
      <c r="G6" s="458"/>
      <c r="H6" s="243"/>
      <c r="I6" s="243"/>
      <c r="J6" s="243"/>
      <c r="K6" s="243"/>
      <c r="L6" s="154">
        <f>L44</f>
        <v>0</v>
      </c>
      <c r="M6" s="154">
        <f>M44</f>
        <v>0</v>
      </c>
      <c r="N6" s="152"/>
    </row>
    <row r="7" spans="1:14" ht="18.5" x14ac:dyDescent="0.35">
      <c r="A7" s="457" t="s">
        <v>43</v>
      </c>
      <c r="B7" s="458"/>
      <c r="C7" s="458"/>
      <c r="D7" s="458"/>
      <c r="E7" s="458"/>
      <c r="F7" s="458"/>
      <c r="G7" s="458"/>
      <c r="H7" s="243"/>
      <c r="I7" s="243"/>
      <c r="J7" s="243"/>
      <c r="K7" s="243"/>
      <c r="L7" s="154">
        <f>L59</f>
        <v>0</v>
      </c>
      <c r="M7" s="154">
        <f>M59</f>
        <v>0</v>
      </c>
      <c r="N7" s="152"/>
    </row>
    <row r="8" spans="1:14" ht="18.5" x14ac:dyDescent="0.35">
      <c r="A8" s="457" t="s">
        <v>45</v>
      </c>
      <c r="B8" s="458"/>
      <c r="C8" s="458"/>
      <c r="D8" s="458"/>
      <c r="E8" s="458"/>
      <c r="F8" s="458"/>
      <c r="G8" s="458"/>
      <c r="H8" s="243"/>
      <c r="I8" s="243"/>
      <c r="J8" s="243"/>
      <c r="K8" s="243"/>
      <c r="L8" s="154">
        <f>L66</f>
        <v>0</v>
      </c>
      <c r="M8" s="154">
        <f>M66</f>
        <v>0</v>
      </c>
      <c r="N8" s="152"/>
    </row>
    <row r="9" spans="1:14" ht="18.5" x14ac:dyDescent="0.35">
      <c r="A9" s="457" t="s">
        <v>56</v>
      </c>
      <c r="B9" s="458"/>
      <c r="C9" s="458"/>
      <c r="D9" s="458"/>
      <c r="E9" s="458"/>
      <c r="F9" s="458"/>
      <c r="G9" s="458"/>
      <c r="H9" s="243"/>
      <c r="I9" s="243"/>
      <c r="J9" s="243"/>
      <c r="K9" s="243"/>
      <c r="L9" s="154">
        <f>L84</f>
        <v>0</v>
      </c>
      <c r="M9" s="154">
        <f>M84</f>
        <v>0</v>
      </c>
      <c r="N9" s="152"/>
    </row>
    <row r="10" spans="1:14" ht="19" thickBot="1" x14ac:dyDescent="0.4">
      <c r="A10" s="457" t="s">
        <v>57</v>
      </c>
      <c r="B10" s="458"/>
      <c r="C10" s="458"/>
      <c r="D10" s="458"/>
      <c r="E10" s="458"/>
      <c r="F10" s="458"/>
      <c r="G10" s="458"/>
      <c r="H10" s="243"/>
      <c r="I10" s="243"/>
      <c r="J10" s="243"/>
      <c r="K10" s="243"/>
      <c r="L10" s="154">
        <f>L91</f>
        <v>0</v>
      </c>
      <c r="M10" s="154">
        <f>M91</f>
        <v>0</v>
      </c>
      <c r="N10" s="152"/>
    </row>
    <row r="11" spans="1:14" ht="26.5" thickBot="1" x14ac:dyDescent="0.4">
      <c r="A11" s="465" t="s">
        <v>470</v>
      </c>
      <c r="B11" s="458"/>
      <c r="C11" s="458"/>
      <c r="D11" s="458"/>
      <c r="E11" s="458"/>
      <c r="F11" s="458"/>
      <c r="G11" s="458"/>
      <c r="H11" s="458"/>
      <c r="I11" s="458"/>
      <c r="J11" s="458"/>
      <c r="K11" s="466"/>
      <c r="L11" s="155">
        <f>SUM(L5:L10)</f>
        <v>0</v>
      </c>
      <c r="M11" s="155">
        <f>SUM(M5:M10)</f>
        <v>0</v>
      </c>
      <c r="N11" s="152"/>
    </row>
    <row r="12" spans="1:14" ht="26" x14ac:dyDescent="0.35">
      <c r="A12" s="246"/>
      <c r="B12" s="247"/>
      <c r="C12" s="248"/>
      <c r="D12" s="248"/>
      <c r="E12" s="248"/>
      <c r="F12" s="248"/>
      <c r="G12" s="248"/>
      <c r="H12" s="248"/>
      <c r="I12" s="248"/>
      <c r="J12" s="248"/>
      <c r="K12" s="248"/>
    </row>
    <row r="13" spans="1:14" ht="19" thickBot="1" x14ac:dyDescent="0.4">
      <c r="A13" s="248"/>
      <c r="B13" s="269"/>
      <c r="C13" s="270"/>
      <c r="D13" s="270"/>
      <c r="E13" s="271"/>
      <c r="F13" s="271"/>
      <c r="G13" s="271"/>
      <c r="H13" s="248"/>
      <c r="I13" s="248"/>
      <c r="J13" s="248"/>
      <c r="K13" s="248"/>
    </row>
    <row r="14" spans="1:14" s="1" customFormat="1" ht="30.75" customHeight="1" thickBot="1" x14ac:dyDescent="0.4">
      <c r="A14" s="27" t="s">
        <v>25</v>
      </c>
      <c r="B14" s="27" t="s">
        <v>26</v>
      </c>
      <c r="C14" s="464" t="s">
        <v>27</v>
      </c>
      <c r="D14" s="460"/>
      <c r="E14" s="5"/>
      <c r="F14" s="459" t="s">
        <v>11</v>
      </c>
      <c r="G14" s="460"/>
      <c r="H14" s="4" t="s">
        <v>48</v>
      </c>
      <c r="I14" s="4" t="s">
        <v>0</v>
      </c>
      <c r="J14" s="4" t="s">
        <v>1</v>
      </c>
      <c r="K14" s="4" t="s">
        <v>2</v>
      </c>
      <c r="L14" s="4" t="s">
        <v>7</v>
      </c>
      <c r="M14" s="4" t="s">
        <v>8</v>
      </c>
      <c r="N14" s="4" t="s">
        <v>3</v>
      </c>
    </row>
    <row r="15" spans="1:14" s="204" customFormat="1" ht="15" customHeight="1" thickBot="1" x14ac:dyDescent="0.4">
      <c r="A15" s="285"/>
      <c r="B15" s="286"/>
      <c r="C15" s="287"/>
      <c r="D15" s="287"/>
      <c r="E15" s="271"/>
      <c r="F15" s="288"/>
      <c r="G15" s="288"/>
      <c r="H15" s="288"/>
      <c r="I15" s="288"/>
      <c r="J15" s="288"/>
      <c r="K15" s="288"/>
      <c r="L15" s="288"/>
      <c r="M15" s="288"/>
      <c r="N15" s="288"/>
    </row>
    <row r="16" spans="1:14" ht="18.5" x14ac:dyDescent="0.35">
      <c r="A16" s="476" t="s">
        <v>41</v>
      </c>
      <c r="B16" s="55"/>
      <c r="C16" s="45"/>
      <c r="D16" s="45"/>
      <c r="E16" s="46"/>
      <c r="F16" s="47"/>
      <c r="G16" s="47"/>
      <c r="H16" s="44"/>
      <c r="I16" s="48"/>
      <c r="J16" s="92"/>
      <c r="K16" s="49"/>
      <c r="L16" s="49"/>
      <c r="M16" s="49"/>
      <c r="N16" s="146"/>
    </row>
    <row r="17" spans="1:14" ht="21" customHeight="1" x14ac:dyDescent="0.35">
      <c r="A17" s="462"/>
      <c r="B17" s="57">
        <v>253</v>
      </c>
      <c r="C17" s="35" t="s">
        <v>9</v>
      </c>
      <c r="D17" s="35" t="s">
        <v>133</v>
      </c>
      <c r="E17" s="36"/>
      <c r="F17" s="37" t="s">
        <v>22</v>
      </c>
      <c r="G17" s="10"/>
      <c r="H17" s="103" t="s">
        <v>132</v>
      </c>
      <c r="I17" s="68" t="s">
        <v>6</v>
      </c>
      <c r="J17" s="95">
        <v>1</v>
      </c>
      <c r="K17" s="312">
        <v>0</v>
      </c>
      <c r="L17" s="141"/>
      <c r="M17" s="69">
        <f>K17*J17</f>
        <v>0</v>
      </c>
      <c r="N17" s="147"/>
    </row>
    <row r="18" spans="1:14" ht="21" x14ac:dyDescent="0.35">
      <c r="A18" s="462"/>
      <c r="B18" s="56"/>
      <c r="C18" s="18"/>
      <c r="D18" s="18"/>
      <c r="E18" s="7"/>
      <c r="F18" s="25"/>
      <c r="G18" s="12"/>
      <c r="H18" s="103"/>
      <c r="I18" s="68"/>
      <c r="J18" s="95"/>
      <c r="K18" s="69"/>
      <c r="L18" s="69"/>
      <c r="M18" s="69"/>
      <c r="N18" s="169"/>
    </row>
    <row r="19" spans="1:14" ht="18.5" x14ac:dyDescent="0.35">
      <c r="A19" s="462"/>
      <c r="B19" s="57">
        <v>254</v>
      </c>
      <c r="C19" s="35" t="s">
        <v>9</v>
      </c>
      <c r="D19" s="35" t="s">
        <v>134</v>
      </c>
      <c r="E19" s="40"/>
      <c r="F19" s="39" t="s">
        <v>96</v>
      </c>
      <c r="G19" s="13"/>
      <c r="H19" s="103" t="s">
        <v>136</v>
      </c>
      <c r="I19" s="68" t="s">
        <v>4</v>
      </c>
      <c r="J19" s="95">
        <f>1*2.6+0.5*2*2.6</f>
        <v>5.2</v>
      </c>
      <c r="K19" s="312">
        <v>0</v>
      </c>
      <c r="L19" s="141"/>
      <c r="M19" s="69">
        <f>K19*J19</f>
        <v>0</v>
      </c>
      <c r="N19" s="148"/>
    </row>
    <row r="20" spans="1:14" ht="18.5" x14ac:dyDescent="0.35">
      <c r="A20" s="462"/>
      <c r="B20" s="59"/>
      <c r="C20" s="41"/>
      <c r="D20" s="41"/>
      <c r="E20" s="61"/>
      <c r="F20" s="62"/>
      <c r="G20" s="13"/>
      <c r="H20" s="103"/>
      <c r="I20" s="68"/>
      <c r="J20" s="95"/>
      <c r="K20" s="69"/>
      <c r="L20" s="69"/>
      <c r="M20" s="69"/>
      <c r="N20" s="148"/>
    </row>
    <row r="21" spans="1:14" ht="18.5" x14ac:dyDescent="0.35">
      <c r="A21" s="462"/>
      <c r="B21" s="57">
        <v>255</v>
      </c>
      <c r="C21" s="35" t="s">
        <v>9</v>
      </c>
      <c r="D21" s="35" t="s">
        <v>143</v>
      </c>
      <c r="E21" s="40"/>
      <c r="F21" s="39" t="s">
        <v>144</v>
      </c>
      <c r="G21" s="13"/>
      <c r="H21" s="103" t="s">
        <v>531</v>
      </c>
      <c r="I21" s="68" t="s">
        <v>4</v>
      </c>
      <c r="J21" s="95">
        <f>1.065*1.8</f>
        <v>1.917</v>
      </c>
      <c r="K21" s="312">
        <v>0</v>
      </c>
      <c r="L21" s="69">
        <f>K21*J21</f>
        <v>0</v>
      </c>
      <c r="M21" s="312">
        <v>0</v>
      </c>
      <c r="N21" s="148"/>
    </row>
    <row r="22" spans="1:14" ht="19" thickBot="1" x14ac:dyDescent="0.4">
      <c r="A22" s="462"/>
      <c r="B22" s="56"/>
      <c r="C22" s="20"/>
      <c r="D22" s="20"/>
      <c r="E22" s="8"/>
      <c r="F22" s="26"/>
      <c r="G22" s="13"/>
      <c r="H22" s="103"/>
      <c r="I22" s="68"/>
      <c r="J22" s="95"/>
      <c r="K22" s="69"/>
      <c r="L22" s="69"/>
      <c r="M22" s="69"/>
      <c r="N22" s="148"/>
    </row>
    <row r="23" spans="1:14" ht="19" thickBot="1" x14ac:dyDescent="0.4">
      <c r="A23" s="462"/>
      <c r="B23" s="453" t="s">
        <v>13</v>
      </c>
      <c r="C23" s="454"/>
      <c r="D23" s="454"/>
      <c r="E23" s="454"/>
      <c r="F23" s="454"/>
      <c r="G23" s="140"/>
      <c r="H23" s="140" t="s">
        <v>459</v>
      </c>
      <c r="I23" s="50"/>
      <c r="J23" s="94"/>
      <c r="K23" s="51"/>
      <c r="L23" s="52">
        <f>SUM(L17:L21)</f>
        <v>0</v>
      </c>
      <c r="M23" s="53">
        <f>SUM(M17:M21)</f>
        <v>0</v>
      </c>
      <c r="N23" s="148"/>
    </row>
    <row r="24" spans="1:14" ht="19" thickBot="1" x14ac:dyDescent="0.4">
      <c r="A24" s="463"/>
      <c r="B24" s="58"/>
      <c r="C24" s="21"/>
      <c r="D24" s="21"/>
      <c r="E24" s="14"/>
      <c r="F24" s="15"/>
      <c r="G24" s="15"/>
      <c r="H24" s="16"/>
      <c r="I24" s="17"/>
      <c r="J24" s="96"/>
      <c r="K24" s="277"/>
      <c r="L24" s="278"/>
      <c r="M24" s="276"/>
      <c r="N24" s="148"/>
    </row>
    <row r="25" spans="1:14" ht="18.5" x14ac:dyDescent="0.35">
      <c r="A25" s="469" t="s">
        <v>40</v>
      </c>
      <c r="B25" s="56"/>
      <c r="C25" s="20"/>
      <c r="D25" s="20"/>
      <c r="E25" s="8"/>
      <c r="F25" s="13"/>
      <c r="G25" s="13"/>
      <c r="H25" s="141"/>
      <c r="I25" s="68"/>
      <c r="J25" s="95"/>
      <c r="K25" s="69"/>
      <c r="L25" s="69"/>
      <c r="M25" s="69"/>
      <c r="N25" s="146"/>
    </row>
    <row r="26" spans="1:14" ht="18.5" x14ac:dyDescent="0.35">
      <c r="A26" s="470"/>
      <c r="B26" s="57">
        <v>256</v>
      </c>
      <c r="C26" s="35" t="s">
        <v>14</v>
      </c>
      <c r="D26" s="35" t="s">
        <v>133</v>
      </c>
      <c r="E26" s="40"/>
      <c r="F26" s="160" t="s">
        <v>32</v>
      </c>
      <c r="G26" s="161" t="s">
        <v>17</v>
      </c>
      <c r="H26" s="103" t="s">
        <v>475</v>
      </c>
      <c r="I26" s="68" t="s">
        <v>5</v>
      </c>
      <c r="J26" s="95">
        <f>1.78*2+0.83*2</f>
        <v>5.22</v>
      </c>
      <c r="K26" s="312">
        <v>0</v>
      </c>
      <c r="L26" s="69">
        <f>K26*J26</f>
        <v>0</v>
      </c>
      <c r="M26" s="312">
        <v>0</v>
      </c>
      <c r="N26" s="148"/>
    </row>
    <row r="27" spans="1:14" ht="18.5" x14ac:dyDescent="0.35">
      <c r="A27" s="470"/>
      <c r="B27" s="56"/>
      <c r="C27" s="20"/>
      <c r="D27" s="20"/>
      <c r="E27" s="8"/>
      <c r="F27" s="13"/>
      <c r="G27" s="161"/>
      <c r="H27" s="103" t="s">
        <v>476</v>
      </c>
      <c r="I27" s="68" t="s">
        <v>5</v>
      </c>
      <c r="J27" s="95">
        <f>3*0.75</f>
        <v>2.25</v>
      </c>
      <c r="K27" s="312">
        <v>0</v>
      </c>
      <c r="L27" s="69">
        <f>K27*J27</f>
        <v>0</v>
      </c>
      <c r="M27" s="312">
        <v>0</v>
      </c>
      <c r="N27" s="148"/>
    </row>
    <row r="28" spans="1:14" x14ac:dyDescent="0.35">
      <c r="A28" s="470"/>
      <c r="B28" s="56"/>
      <c r="C28" s="8"/>
      <c r="D28" s="8"/>
      <c r="E28" s="8"/>
      <c r="F28" s="13"/>
      <c r="G28" s="161"/>
      <c r="H28" s="103" t="s">
        <v>705</v>
      </c>
      <c r="I28" s="68" t="s">
        <v>5</v>
      </c>
      <c r="J28" s="95">
        <f>3*0.75*0.03</f>
        <v>6.7500000000000004E-2</v>
      </c>
      <c r="K28" s="312">
        <v>0</v>
      </c>
      <c r="L28" s="69">
        <f>K28*J28</f>
        <v>0</v>
      </c>
      <c r="M28" s="312">
        <v>0</v>
      </c>
      <c r="N28" s="148"/>
    </row>
    <row r="29" spans="1:14" x14ac:dyDescent="0.35">
      <c r="A29" s="470"/>
      <c r="B29" s="56"/>
      <c r="C29" s="8"/>
      <c r="D29" s="8"/>
      <c r="E29" s="8"/>
      <c r="F29" s="13"/>
      <c r="G29" s="161"/>
      <c r="H29" s="103"/>
      <c r="I29" s="68"/>
      <c r="J29" s="95"/>
      <c r="K29" s="69"/>
      <c r="L29" s="69"/>
      <c r="M29" s="69"/>
      <c r="N29" s="148"/>
    </row>
    <row r="30" spans="1:14" x14ac:dyDescent="0.35">
      <c r="A30" s="470"/>
      <c r="B30" s="56"/>
      <c r="C30" s="8"/>
      <c r="D30" s="8"/>
      <c r="E30" s="8"/>
      <c r="F30" s="13"/>
      <c r="G30" s="161" t="s">
        <v>18</v>
      </c>
      <c r="H30" s="103" t="s">
        <v>498</v>
      </c>
      <c r="I30" s="68" t="s">
        <v>4</v>
      </c>
      <c r="J30" s="95">
        <f>J26*2*0.04*3+0.5</f>
        <v>1.7527999999999999</v>
      </c>
      <c r="K30" s="312">
        <v>0</v>
      </c>
      <c r="L30" s="69">
        <f>K30*J30</f>
        <v>0</v>
      </c>
      <c r="M30" s="312">
        <v>0</v>
      </c>
      <c r="N30" s="148" t="s">
        <v>519</v>
      </c>
    </row>
    <row r="31" spans="1:14" x14ac:dyDescent="0.35">
      <c r="A31" s="470"/>
      <c r="B31" s="56"/>
      <c r="C31" s="8"/>
      <c r="D31" s="8"/>
      <c r="E31" s="8"/>
      <c r="F31" s="13"/>
      <c r="G31" s="161"/>
      <c r="H31" s="103"/>
      <c r="I31" s="68"/>
      <c r="J31" s="95"/>
      <c r="K31" s="69"/>
      <c r="L31" s="69"/>
      <c r="M31" s="69"/>
      <c r="N31" s="148"/>
    </row>
    <row r="32" spans="1:14" x14ac:dyDescent="0.35">
      <c r="A32" s="470"/>
      <c r="B32" s="56"/>
      <c r="C32" s="8"/>
      <c r="D32" s="8"/>
      <c r="E32" s="8"/>
      <c r="F32" s="13"/>
      <c r="G32" s="161" t="s">
        <v>19</v>
      </c>
      <c r="H32" s="103" t="s">
        <v>770</v>
      </c>
      <c r="I32" s="68" t="s">
        <v>4</v>
      </c>
      <c r="J32" s="95">
        <f>0.79*0.79</f>
        <v>0.6241000000000001</v>
      </c>
      <c r="K32" s="312">
        <v>0</v>
      </c>
      <c r="L32" s="69">
        <f>K32*J32</f>
        <v>0</v>
      </c>
      <c r="M32" s="312">
        <v>0</v>
      </c>
      <c r="N32" s="148"/>
    </row>
    <row r="33" spans="1:14" x14ac:dyDescent="0.35">
      <c r="A33" s="470"/>
      <c r="B33" s="56"/>
      <c r="C33" s="8"/>
      <c r="D33" s="8"/>
      <c r="E33" s="8"/>
      <c r="F33" s="13"/>
      <c r="G33" s="13"/>
      <c r="H33" s="103"/>
      <c r="I33" s="68"/>
      <c r="J33" s="95"/>
      <c r="K33" s="69"/>
      <c r="L33" s="69"/>
      <c r="M33" s="69"/>
      <c r="N33" s="148"/>
    </row>
    <row r="34" spans="1:14" ht="15.5" x14ac:dyDescent="0.35">
      <c r="A34" s="470"/>
      <c r="B34" s="76"/>
      <c r="C34" s="77"/>
      <c r="D34" s="77"/>
      <c r="E34" s="77"/>
      <c r="F34" s="30"/>
      <c r="G34" s="31"/>
      <c r="H34" s="32" t="s">
        <v>459</v>
      </c>
      <c r="I34" s="33"/>
      <c r="J34" s="98"/>
      <c r="K34" s="34"/>
      <c r="L34" s="137">
        <f>SUM(L26:L32)</f>
        <v>0</v>
      </c>
      <c r="M34" s="137">
        <f>SUM(M26:M32)</f>
        <v>0</v>
      </c>
      <c r="N34" s="148"/>
    </row>
    <row r="35" spans="1:14" x14ac:dyDescent="0.35">
      <c r="A35" s="470"/>
      <c r="B35" s="56"/>
      <c r="C35" s="8"/>
      <c r="D35" s="8"/>
      <c r="E35" s="8"/>
      <c r="F35" s="28"/>
      <c r="G35" s="28"/>
      <c r="H35" s="29"/>
      <c r="I35" s="29"/>
      <c r="J35" s="97"/>
      <c r="K35" s="29"/>
      <c r="L35" s="29"/>
      <c r="M35" s="29"/>
      <c r="N35" s="148"/>
    </row>
    <row r="36" spans="1:14" ht="18.5" x14ac:dyDescent="0.35">
      <c r="A36" s="470"/>
      <c r="B36" s="57">
        <v>257</v>
      </c>
      <c r="C36" s="35" t="s">
        <v>14</v>
      </c>
      <c r="D36" s="35" t="s">
        <v>134</v>
      </c>
      <c r="E36" s="40"/>
      <c r="F36" s="160" t="s">
        <v>137</v>
      </c>
      <c r="G36" s="161" t="s">
        <v>138</v>
      </c>
      <c r="H36" s="213" t="s">
        <v>681</v>
      </c>
      <c r="I36" s="68" t="s">
        <v>6</v>
      </c>
      <c r="J36" s="95">
        <v>4</v>
      </c>
      <c r="K36" s="312">
        <v>0</v>
      </c>
      <c r="L36" s="69">
        <f>K36*J36</f>
        <v>0</v>
      </c>
      <c r="M36" s="312">
        <v>0</v>
      </c>
      <c r="N36" s="148"/>
    </row>
    <row r="37" spans="1:14" x14ac:dyDescent="0.35">
      <c r="A37" s="470"/>
      <c r="B37" s="56"/>
      <c r="C37" s="8"/>
      <c r="D37" s="8"/>
      <c r="E37" s="8"/>
      <c r="F37" s="13"/>
      <c r="G37" s="13"/>
      <c r="H37" s="103"/>
      <c r="I37" s="68"/>
      <c r="J37" s="95"/>
      <c r="K37" s="69"/>
      <c r="L37" s="69"/>
      <c r="M37" s="69"/>
      <c r="N37" s="148"/>
    </row>
    <row r="38" spans="1:14" ht="15.5" x14ac:dyDescent="0.35">
      <c r="A38" s="470"/>
      <c r="B38" s="76"/>
      <c r="C38" s="77"/>
      <c r="D38" s="77"/>
      <c r="E38" s="77"/>
      <c r="F38" s="30"/>
      <c r="G38" s="31"/>
      <c r="H38" s="32" t="s">
        <v>459</v>
      </c>
      <c r="I38" s="33"/>
      <c r="J38" s="98"/>
      <c r="K38" s="34"/>
      <c r="L38" s="137">
        <f>SUM(L36:L36)</f>
        <v>0</v>
      </c>
      <c r="M38" s="137">
        <f>SUM(M36:M36)</f>
        <v>0</v>
      </c>
      <c r="N38" s="148"/>
    </row>
    <row r="39" spans="1:14" x14ac:dyDescent="0.35">
      <c r="A39" s="470"/>
      <c r="B39" s="56"/>
      <c r="C39" s="8"/>
      <c r="D39" s="8"/>
      <c r="E39" s="8"/>
      <c r="F39" s="28"/>
      <c r="G39" s="263"/>
      <c r="H39" s="240"/>
      <c r="I39" s="240"/>
      <c r="J39" s="267"/>
      <c r="K39" s="240"/>
      <c r="L39" s="240"/>
      <c r="M39" s="240"/>
      <c r="N39" s="148"/>
    </row>
    <row r="40" spans="1:14" ht="29" x14ac:dyDescent="0.35">
      <c r="A40" s="470"/>
      <c r="B40" s="57">
        <v>258</v>
      </c>
      <c r="C40" s="35" t="s">
        <v>14</v>
      </c>
      <c r="D40" s="35" t="s">
        <v>135</v>
      </c>
      <c r="E40" s="40"/>
      <c r="F40" s="160" t="s">
        <v>638</v>
      </c>
      <c r="G40" s="216"/>
      <c r="H40" s="221" t="s">
        <v>568</v>
      </c>
      <c r="I40" s="211" t="s">
        <v>6</v>
      </c>
      <c r="J40" s="212">
        <v>1</v>
      </c>
      <c r="K40" s="312">
        <v>0</v>
      </c>
      <c r="L40" s="220">
        <f>K40*J40</f>
        <v>0</v>
      </c>
      <c r="M40" s="312">
        <v>0</v>
      </c>
      <c r="N40" s="148" t="s">
        <v>365</v>
      </c>
    </row>
    <row r="41" spans="1:14" x14ac:dyDescent="0.35">
      <c r="A41" s="470"/>
      <c r="B41" s="249"/>
      <c r="C41" s="251"/>
      <c r="D41" s="251"/>
      <c r="E41" s="251"/>
      <c r="F41" s="217"/>
      <c r="G41" s="217"/>
      <c r="H41" s="228"/>
      <c r="I41" s="211"/>
      <c r="J41" s="212"/>
      <c r="K41" s="220"/>
      <c r="L41" s="220"/>
      <c r="M41" s="220"/>
      <c r="N41" s="148"/>
    </row>
    <row r="42" spans="1:14" ht="15.5" x14ac:dyDescent="0.35">
      <c r="A42" s="470"/>
      <c r="B42" s="260"/>
      <c r="C42" s="261"/>
      <c r="D42" s="261"/>
      <c r="E42" s="261"/>
      <c r="F42" s="235"/>
      <c r="G42" s="255"/>
      <c r="H42" s="234" t="s">
        <v>459</v>
      </c>
      <c r="I42" s="256"/>
      <c r="J42" s="257"/>
      <c r="K42" s="258"/>
      <c r="L42" s="137">
        <f>SUM(L39:L40)</f>
        <v>0</v>
      </c>
      <c r="M42" s="137">
        <f>SUM(M39:M40)</f>
        <v>0</v>
      </c>
      <c r="N42" s="148"/>
    </row>
    <row r="43" spans="1:14" ht="15" thickBot="1" x14ac:dyDescent="0.4">
      <c r="A43" s="470"/>
      <c r="B43" s="56"/>
      <c r="C43" s="8"/>
      <c r="D43" s="8"/>
      <c r="E43" s="8"/>
      <c r="F43" s="8"/>
      <c r="G43" s="8"/>
      <c r="H43" s="141"/>
      <c r="I43" s="141"/>
      <c r="J43" s="162"/>
      <c r="K43" s="141"/>
      <c r="L43" s="141"/>
      <c r="M43" s="141"/>
      <c r="N43" s="148"/>
    </row>
    <row r="44" spans="1:14" ht="19" thickBot="1" x14ac:dyDescent="0.4">
      <c r="A44" s="470"/>
      <c r="B44" s="453" t="s">
        <v>37</v>
      </c>
      <c r="C44" s="454"/>
      <c r="D44" s="454"/>
      <c r="E44" s="454"/>
      <c r="F44" s="454"/>
      <c r="G44" s="140"/>
      <c r="H44" s="140" t="s">
        <v>459</v>
      </c>
      <c r="I44" s="50"/>
      <c r="J44" s="94"/>
      <c r="K44" s="51"/>
      <c r="L44" s="52">
        <f>L42+L38+L34</f>
        <v>0</v>
      </c>
      <c r="M44" s="53">
        <f>M42+M38+M34</f>
        <v>0</v>
      </c>
      <c r="N44" s="148"/>
    </row>
    <row r="45" spans="1:14" ht="19" thickBot="1" x14ac:dyDescent="0.4">
      <c r="A45" s="471"/>
      <c r="B45" s="58"/>
      <c r="C45" s="21"/>
      <c r="D45" s="21"/>
      <c r="E45" s="14"/>
      <c r="F45" s="15"/>
      <c r="G45" s="15"/>
      <c r="H45" s="16"/>
      <c r="I45" s="17"/>
      <c r="J45" s="96"/>
      <c r="K45" s="277"/>
      <c r="L45" s="278"/>
      <c r="M45" s="276"/>
      <c r="N45" s="148"/>
    </row>
    <row r="46" spans="1:14" ht="18.5" x14ac:dyDescent="0.35">
      <c r="A46" s="469" t="s">
        <v>39</v>
      </c>
      <c r="B46" s="56"/>
      <c r="C46" s="20"/>
      <c r="D46" s="20"/>
      <c r="E46" s="8"/>
      <c r="F46" s="13"/>
      <c r="G46" s="13"/>
      <c r="H46" s="141"/>
      <c r="I46" s="68"/>
      <c r="J46" s="95"/>
      <c r="K46" s="69"/>
      <c r="L46" s="69"/>
      <c r="M46" s="69"/>
      <c r="N46" s="146"/>
    </row>
    <row r="47" spans="1:14" ht="18.75" customHeight="1" x14ac:dyDescent="0.35">
      <c r="A47" s="470"/>
      <c r="B47" s="57">
        <v>259</v>
      </c>
      <c r="C47" s="35" t="s">
        <v>38</v>
      </c>
      <c r="D47" s="35" t="s">
        <v>133</v>
      </c>
      <c r="E47" s="40"/>
      <c r="F47" s="160" t="s">
        <v>32</v>
      </c>
      <c r="G47" s="161"/>
      <c r="H47" s="103" t="s">
        <v>42</v>
      </c>
      <c r="I47" s="68" t="s">
        <v>4</v>
      </c>
      <c r="J47" s="95">
        <f>0.75*0.75</f>
        <v>0.5625</v>
      </c>
      <c r="K47" s="312">
        <v>0</v>
      </c>
      <c r="L47" s="69">
        <f>K47*J47</f>
        <v>0</v>
      </c>
      <c r="M47" s="312">
        <v>0</v>
      </c>
      <c r="N47" s="148"/>
    </row>
    <row r="48" spans="1:14" x14ac:dyDescent="0.35">
      <c r="A48" s="470"/>
      <c r="B48" s="56"/>
      <c r="C48" s="8"/>
      <c r="D48" s="8"/>
      <c r="E48" s="8"/>
      <c r="F48" s="13"/>
      <c r="G48" s="13"/>
      <c r="H48" s="103"/>
      <c r="I48" s="68"/>
      <c r="J48" s="95"/>
      <c r="K48" s="69"/>
      <c r="L48" s="69"/>
      <c r="M48" s="69"/>
      <c r="N48" s="148"/>
    </row>
    <row r="49" spans="1:14" ht="15.5" x14ac:dyDescent="0.35">
      <c r="A49" s="470"/>
      <c r="B49" s="76"/>
      <c r="C49" s="77"/>
      <c r="D49" s="77"/>
      <c r="E49" s="77"/>
      <c r="F49" s="30"/>
      <c r="G49" s="31"/>
      <c r="H49" s="32" t="s">
        <v>459</v>
      </c>
      <c r="I49" s="33"/>
      <c r="J49" s="98"/>
      <c r="K49" s="34"/>
      <c r="L49" s="137">
        <f>SUM(L47:L47)</f>
        <v>0</v>
      </c>
      <c r="M49" s="137">
        <f>SUM(M47:M47)</f>
        <v>0</v>
      </c>
      <c r="N49" s="148"/>
    </row>
    <row r="50" spans="1:14" x14ac:dyDescent="0.35">
      <c r="A50" s="470"/>
      <c r="B50" s="56"/>
      <c r="C50" s="8"/>
      <c r="D50" s="8"/>
      <c r="E50" s="8"/>
      <c r="F50" s="8"/>
      <c r="G50" s="8"/>
      <c r="H50" s="141"/>
      <c r="I50" s="141"/>
      <c r="J50" s="162"/>
      <c r="K50" s="141"/>
      <c r="L50" s="141"/>
      <c r="M50" s="141"/>
      <c r="N50" s="148"/>
    </row>
    <row r="51" spans="1:14" ht="18.5" x14ac:dyDescent="0.35">
      <c r="A51" s="470"/>
      <c r="B51" s="57">
        <v>260</v>
      </c>
      <c r="C51" s="35" t="s">
        <v>38</v>
      </c>
      <c r="D51" s="35" t="s">
        <v>134</v>
      </c>
      <c r="E51" s="40"/>
      <c r="F51" s="160" t="s">
        <v>139</v>
      </c>
      <c r="G51" s="161"/>
      <c r="H51" s="103" t="s">
        <v>528</v>
      </c>
      <c r="I51" s="68" t="s">
        <v>4</v>
      </c>
      <c r="J51" s="95">
        <f>2.6*8.1</f>
        <v>21.06</v>
      </c>
      <c r="K51" s="312">
        <v>0</v>
      </c>
      <c r="L51" s="69">
        <f>K51*J51</f>
        <v>0</v>
      </c>
      <c r="M51" s="312">
        <v>0</v>
      </c>
      <c r="N51" s="148"/>
    </row>
    <row r="52" spans="1:14" x14ac:dyDescent="0.35">
      <c r="A52" s="470"/>
      <c r="B52" s="56"/>
      <c r="C52" s="8"/>
      <c r="D52" s="8"/>
      <c r="E52" s="8"/>
      <c r="F52" s="13"/>
      <c r="G52" s="13"/>
      <c r="H52" s="103"/>
      <c r="I52" s="68"/>
      <c r="J52" s="95"/>
      <c r="K52" s="69"/>
      <c r="L52" s="69"/>
      <c r="M52" s="69"/>
      <c r="N52" s="148"/>
    </row>
    <row r="53" spans="1:14" ht="15.5" x14ac:dyDescent="0.35">
      <c r="A53" s="470"/>
      <c r="B53" s="76"/>
      <c r="C53" s="77"/>
      <c r="D53" s="77"/>
      <c r="E53" s="77"/>
      <c r="F53" s="30"/>
      <c r="G53" s="31"/>
      <c r="H53" s="32" t="s">
        <v>459</v>
      </c>
      <c r="I53" s="33"/>
      <c r="J53" s="98"/>
      <c r="K53" s="34"/>
      <c r="L53" s="137">
        <f>SUM(L51:L51)</f>
        <v>0</v>
      </c>
      <c r="M53" s="137">
        <f>SUM(M51:M51)</f>
        <v>0</v>
      </c>
      <c r="N53" s="148"/>
    </row>
    <row r="54" spans="1:14" x14ac:dyDescent="0.35">
      <c r="A54" s="470"/>
      <c r="B54" s="56"/>
      <c r="C54" s="8"/>
      <c r="D54" s="8"/>
      <c r="E54" s="8"/>
      <c r="F54" s="8"/>
      <c r="G54" s="8"/>
      <c r="H54" s="141"/>
      <c r="I54" s="141"/>
      <c r="J54" s="162"/>
      <c r="K54" s="141"/>
      <c r="L54" s="141"/>
      <c r="M54" s="141"/>
      <c r="N54" s="148"/>
    </row>
    <row r="55" spans="1:14" ht="18.5" x14ac:dyDescent="0.35">
      <c r="A55" s="470"/>
      <c r="B55" s="57">
        <v>261</v>
      </c>
      <c r="C55" s="35" t="s">
        <v>38</v>
      </c>
      <c r="D55" s="35" t="s">
        <v>135</v>
      </c>
      <c r="E55" s="40"/>
      <c r="F55" s="160" t="s">
        <v>140</v>
      </c>
      <c r="G55" s="161"/>
      <c r="H55" s="103" t="s">
        <v>528</v>
      </c>
      <c r="I55" s="68" t="s">
        <v>4</v>
      </c>
      <c r="J55" s="95">
        <f>12.8*2.6</f>
        <v>33.28</v>
      </c>
      <c r="K55" s="312">
        <v>0</v>
      </c>
      <c r="L55" s="69">
        <f>K55*J55</f>
        <v>0</v>
      </c>
      <c r="M55" s="312">
        <v>0</v>
      </c>
      <c r="N55" s="148"/>
    </row>
    <row r="56" spans="1:14" x14ac:dyDescent="0.35">
      <c r="A56" s="470"/>
      <c r="B56" s="56"/>
      <c r="C56" s="8"/>
      <c r="D56" s="8"/>
      <c r="E56" s="8"/>
      <c r="F56" s="13"/>
      <c r="G56" s="13"/>
      <c r="H56" s="103"/>
      <c r="I56" s="68"/>
      <c r="J56" s="95"/>
      <c r="K56" s="69"/>
      <c r="L56" s="69"/>
      <c r="M56" s="69"/>
      <c r="N56" s="148"/>
    </row>
    <row r="57" spans="1:14" ht="15.5" x14ac:dyDescent="0.35">
      <c r="A57" s="470"/>
      <c r="B57" s="76"/>
      <c r="C57" s="77"/>
      <c r="D57" s="77"/>
      <c r="E57" s="77"/>
      <c r="F57" s="30"/>
      <c r="G57" s="31"/>
      <c r="H57" s="32" t="s">
        <v>459</v>
      </c>
      <c r="I57" s="33"/>
      <c r="J57" s="98"/>
      <c r="K57" s="34"/>
      <c r="L57" s="137">
        <f>SUM(L55:L55)</f>
        <v>0</v>
      </c>
      <c r="M57" s="137">
        <f>SUM(M55:M55)</f>
        <v>0</v>
      </c>
      <c r="N57" s="148"/>
    </row>
    <row r="58" spans="1:14" ht="15" thickBot="1" x14ac:dyDescent="0.4">
      <c r="A58" s="470"/>
      <c r="B58" s="56"/>
      <c r="C58" s="8"/>
      <c r="D58" s="8"/>
      <c r="E58" s="8"/>
      <c r="F58" s="8"/>
      <c r="G58" s="8"/>
      <c r="H58" s="141"/>
      <c r="I58" s="141"/>
      <c r="J58" s="162"/>
      <c r="K58" s="141"/>
      <c r="L58" s="141"/>
      <c r="M58" s="141"/>
      <c r="N58" s="148"/>
    </row>
    <row r="59" spans="1:14" ht="19" thickBot="1" x14ac:dyDescent="0.4">
      <c r="A59" s="470"/>
      <c r="B59" s="453" t="s">
        <v>43</v>
      </c>
      <c r="C59" s="454"/>
      <c r="D59" s="454"/>
      <c r="E59" s="454"/>
      <c r="F59" s="454"/>
      <c r="G59" s="140"/>
      <c r="H59" s="140" t="s">
        <v>459</v>
      </c>
      <c r="I59" s="50"/>
      <c r="J59" s="94"/>
      <c r="K59" s="51"/>
      <c r="L59" s="52">
        <f>L57+L53+L49</f>
        <v>0</v>
      </c>
      <c r="M59" s="53">
        <f>M57+M53+M49</f>
        <v>0</v>
      </c>
      <c r="N59" s="148"/>
    </row>
    <row r="60" spans="1:14" ht="19" thickBot="1" x14ac:dyDescent="0.4">
      <c r="A60" s="471"/>
      <c r="B60" s="58"/>
      <c r="C60" s="21"/>
      <c r="D60" s="21"/>
      <c r="E60" s="14"/>
      <c r="F60" s="15"/>
      <c r="G60" s="15"/>
      <c r="H60" s="16"/>
      <c r="I60" s="17"/>
      <c r="J60" s="96"/>
      <c r="K60" s="277"/>
      <c r="L60" s="278"/>
      <c r="M60" s="276"/>
      <c r="N60" s="148"/>
    </row>
    <row r="61" spans="1:14" ht="18.5" x14ac:dyDescent="0.35">
      <c r="A61" s="469" t="s">
        <v>46</v>
      </c>
      <c r="B61" s="56"/>
      <c r="C61" s="20"/>
      <c r="D61" s="20"/>
      <c r="E61" s="8"/>
      <c r="F61" s="13"/>
      <c r="G61" s="13"/>
      <c r="H61" s="141"/>
      <c r="I61" s="68"/>
      <c r="J61" s="95"/>
      <c r="K61" s="69"/>
      <c r="L61" s="69"/>
      <c r="M61" s="69"/>
      <c r="N61" s="146"/>
    </row>
    <row r="62" spans="1:14" ht="18.5" x14ac:dyDescent="0.35">
      <c r="A62" s="470"/>
      <c r="B62" s="57">
        <v>262</v>
      </c>
      <c r="C62" s="35" t="s">
        <v>47</v>
      </c>
      <c r="D62" s="35" t="s">
        <v>141</v>
      </c>
      <c r="E62" s="40"/>
      <c r="F62" s="160" t="s">
        <v>179</v>
      </c>
      <c r="G62" s="161"/>
      <c r="H62" s="103"/>
      <c r="I62" s="68"/>
      <c r="J62" s="95"/>
      <c r="K62" s="69"/>
      <c r="L62" s="69"/>
      <c r="M62" s="69"/>
      <c r="N62" s="148"/>
    </row>
    <row r="63" spans="1:14" x14ac:dyDescent="0.35">
      <c r="A63" s="470"/>
      <c r="B63" s="56"/>
      <c r="C63" s="8"/>
      <c r="D63" s="8"/>
      <c r="E63" s="8"/>
      <c r="F63" s="13"/>
      <c r="G63" s="13"/>
      <c r="H63" s="103"/>
      <c r="I63" s="68"/>
      <c r="J63" s="95"/>
      <c r="K63" s="69"/>
      <c r="L63" s="69"/>
      <c r="M63" s="69"/>
      <c r="N63" s="148"/>
    </row>
    <row r="64" spans="1:14" ht="15.5" x14ac:dyDescent="0.35">
      <c r="A64" s="470"/>
      <c r="B64" s="76"/>
      <c r="C64" s="77"/>
      <c r="D64" s="77"/>
      <c r="E64" s="77"/>
      <c r="F64" s="30"/>
      <c r="G64" s="31"/>
      <c r="H64" s="32" t="s">
        <v>459</v>
      </c>
      <c r="I64" s="33"/>
      <c r="J64" s="98"/>
      <c r="K64" s="34"/>
      <c r="L64" s="137">
        <f>SUM(L62:L62)</f>
        <v>0</v>
      </c>
      <c r="M64" s="137">
        <f>SUM(M62:M62)</f>
        <v>0</v>
      </c>
      <c r="N64" s="148"/>
    </row>
    <row r="65" spans="1:14" ht="15" thickBot="1" x14ac:dyDescent="0.4">
      <c r="A65" s="470"/>
      <c r="B65" s="56"/>
      <c r="C65" s="8"/>
      <c r="D65" s="8"/>
      <c r="E65" s="8"/>
      <c r="F65" s="8"/>
      <c r="G65" s="8"/>
      <c r="H65" s="141"/>
      <c r="I65" s="141"/>
      <c r="J65" s="162"/>
      <c r="K65" s="141"/>
      <c r="L65" s="141"/>
      <c r="M65" s="141"/>
      <c r="N65" s="148"/>
    </row>
    <row r="66" spans="1:14" ht="19" thickBot="1" x14ac:dyDescent="0.4">
      <c r="A66" s="470"/>
      <c r="B66" s="453" t="s">
        <v>45</v>
      </c>
      <c r="C66" s="454"/>
      <c r="D66" s="454"/>
      <c r="E66" s="454"/>
      <c r="F66" s="454"/>
      <c r="G66" s="140"/>
      <c r="H66" s="140" t="s">
        <v>459</v>
      </c>
      <c r="I66" s="50"/>
      <c r="J66" s="94"/>
      <c r="K66" s="51"/>
      <c r="L66" s="52">
        <f>L64</f>
        <v>0</v>
      </c>
      <c r="M66" s="53">
        <f>M64</f>
        <v>0</v>
      </c>
      <c r="N66" s="148"/>
    </row>
    <row r="67" spans="1:14" ht="19" thickBot="1" x14ac:dyDescent="0.4">
      <c r="A67" s="471"/>
      <c r="B67" s="58"/>
      <c r="C67" s="21"/>
      <c r="D67" s="21"/>
      <c r="E67" s="14"/>
      <c r="F67" s="15"/>
      <c r="G67" s="15"/>
      <c r="H67" s="16"/>
      <c r="I67" s="17"/>
      <c r="J67" s="96"/>
      <c r="K67" s="277"/>
      <c r="L67" s="278"/>
      <c r="M67" s="276"/>
      <c r="N67" s="148"/>
    </row>
    <row r="68" spans="1:14" s="75" customFormat="1" ht="18.5" x14ac:dyDescent="0.35">
      <c r="A68" s="472" t="s">
        <v>59</v>
      </c>
      <c r="B68" s="249"/>
      <c r="C68" s="250"/>
      <c r="D68" s="250"/>
      <c r="E68" s="251"/>
      <c r="F68" s="217"/>
      <c r="G68" s="217"/>
      <c r="H68" s="229"/>
      <c r="I68" s="211"/>
      <c r="J68" s="212"/>
      <c r="K68" s="220"/>
      <c r="L68" s="220"/>
      <c r="M68" s="220"/>
      <c r="N68" s="252"/>
    </row>
    <row r="69" spans="1:14" s="75" customFormat="1" ht="18.75" customHeight="1" x14ac:dyDescent="0.35">
      <c r="A69" s="473"/>
      <c r="B69" s="57">
        <v>263</v>
      </c>
      <c r="C69" s="35" t="s">
        <v>60</v>
      </c>
      <c r="D69" s="35" t="s">
        <v>133</v>
      </c>
      <c r="E69" s="40"/>
      <c r="F69" s="160" t="s">
        <v>638</v>
      </c>
      <c r="G69" s="216" t="s">
        <v>73</v>
      </c>
      <c r="H69" s="228" t="s">
        <v>623</v>
      </c>
      <c r="I69" s="211" t="s">
        <v>6</v>
      </c>
      <c r="J69" s="212">
        <v>1</v>
      </c>
      <c r="K69" s="312">
        <v>0</v>
      </c>
      <c r="L69" s="220">
        <f>K69*J69</f>
        <v>0</v>
      </c>
      <c r="M69" s="312">
        <v>0</v>
      </c>
      <c r="N69" s="219" t="s">
        <v>570</v>
      </c>
    </row>
    <row r="70" spans="1:14" s="75" customFormat="1" ht="18.5" x14ac:dyDescent="0.35">
      <c r="A70" s="473"/>
      <c r="B70" s="249"/>
      <c r="C70" s="250"/>
      <c r="D70" s="250"/>
      <c r="E70" s="251"/>
      <c r="F70" s="217"/>
      <c r="G70" s="216"/>
      <c r="H70" s="228" t="s">
        <v>62</v>
      </c>
      <c r="I70" s="211" t="s">
        <v>6</v>
      </c>
      <c r="J70" s="212">
        <v>1</v>
      </c>
      <c r="K70" s="312">
        <v>0</v>
      </c>
      <c r="L70" s="220">
        <f>K70*J70</f>
        <v>0</v>
      </c>
      <c r="M70" s="312">
        <v>0</v>
      </c>
      <c r="N70" s="219" t="s">
        <v>550</v>
      </c>
    </row>
    <row r="71" spans="1:14" s="75" customFormat="1" ht="72.5" x14ac:dyDescent="0.35">
      <c r="A71" s="473"/>
      <c r="B71" s="249"/>
      <c r="C71" s="250"/>
      <c r="D71" s="250"/>
      <c r="E71" s="251"/>
      <c r="F71" s="217"/>
      <c r="G71" s="216"/>
      <c r="H71" s="228" t="s">
        <v>63</v>
      </c>
      <c r="I71" s="211" t="s">
        <v>6</v>
      </c>
      <c r="J71" s="212">
        <v>1</v>
      </c>
      <c r="K71" s="312">
        <v>0</v>
      </c>
      <c r="L71" s="220">
        <f>K71*J71</f>
        <v>0</v>
      </c>
      <c r="M71" s="312">
        <v>0</v>
      </c>
      <c r="N71" s="219" t="s">
        <v>573</v>
      </c>
    </row>
    <row r="72" spans="1:14" s="75" customFormat="1" ht="18.5" x14ac:dyDescent="0.35">
      <c r="A72" s="473"/>
      <c r="B72" s="249"/>
      <c r="C72" s="250"/>
      <c r="D72" s="250"/>
      <c r="E72" s="251"/>
      <c r="F72" s="217"/>
      <c r="G72" s="216"/>
      <c r="H72" s="228" t="s">
        <v>64</v>
      </c>
      <c r="I72" s="211" t="s">
        <v>6</v>
      </c>
      <c r="J72" s="212">
        <v>1</v>
      </c>
      <c r="K72" s="312">
        <v>0</v>
      </c>
      <c r="L72" s="220">
        <f>K72*J72</f>
        <v>0</v>
      </c>
      <c r="M72" s="312">
        <v>0</v>
      </c>
      <c r="N72" s="219" t="s">
        <v>571</v>
      </c>
    </row>
    <row r="73" spans="1:14" s="75" customFormat="1" x14ac:dyDescent="0.35">
      <c r="A73" s="473"/>
      <c r="B73" s="249"/>
      <c r="C73" s="251"/>
      <c r="D73" s="251"/>
      <c r="E73" s="251"/>
      <c r="F73" s="217"/>
      <c r="G73" s="217"/>
      <c r="H73" s="228"/>
      <c r="I73" s="211"/>
      <c r="J73" s="212"/>
      <c r="K73" s="220"/>
      <c r="L73" s="220"/>
      <c r="M73" s="220"/>
      <c r="N73" s="219"/>
    </row>
    <row r="74" spans="1:14" s="75" customFormat="1" x14ac:dyDescent="0.35">
      <c r="A74" s="473"/>
      <c r="B74" s="249"/>
      <c r="C74" s="251"/>
      <c r="D74" s="251"/>
      <c r="E74" s="251"/>
      <c r="F74" s="217"/>
      <c r="G74" s="217" t="s">
        <v>74</v>
      </c>
      <c r="H74" s="228" t="s">
        <v>77</v>
      </c>
      <c r="I74" s="211" t="s">
        <v>279</v>
      </c>
      <c r="J74" s="212">
        <v>2</v>
      </c>
      <c r="K74" s="312">
        <v>0</v>
      </c>
      <c r="L74" s="229"/>
      <c r="M74" s="316">
        <f>K74*J74</f>
        <v>0</v>
      </c>
      <c r="N74" s="219"/>
    </row>
    <row r="75" spans="1:14" s="75" customFormat="1" x14ac:dyDescent="0.35">
      <c r="A75" s="473"/>
      <c r="B75" s="249"/>
      <c r="C75" s="251"/>
      <c r="D75" s="251"/>
      <c r="E75" s="251"/>
      <c r="F75" s="217"/>
      <c r="G75" s="217"/>
      <c r="H75" s="228" t="s">
        <v>78</v>
      </c>
      <c r="I75" s="211" t="s">
        <v>279</v>
      </c>
      <c r="J75" s="212">
        <v>2</v>
      </c>
      <c r="K75" s="312">
        <v>0</v>
      </c>
      <c r="L75" s="229"/>
      <c r="M75" s="316">
        <f>K75*J75</f>
        <v>0</v>
      </c>
      <c r="N75" s="219"/>
    </row>
    <row r="76" spans="1:14" s="75" customFormat="1" x14ac:dyDescent="0.35">
      <c r="A76" s="473"/>
      <c r="B76" s="249"/>
      <c r="C76" s="251"/>
      <c r="D76" s="251"/>
      <c r="E76" s="251"/>
      <c r="F76" s="217"/>
      <c r="G76" s="217"/>
      <c r="H76" s="228" t="s">
        <v>79</v>
      </c>
      <c r="I76" s="211" t="s">
        <v>279</v>
      </c>
      <c r="J76" s="212">
        <v>1</v>
      </c>
      <c r="K76" s="312">
        <v>0</v>
      </c>
      <c r="L76" s="229"/>
      <c r="M76" s="316">
        <f>K76*J76</f>
        <v>0</v>
      </c>
      <c r="N76" s="219"/>
    </row>
    <row r="77" spans="1:14" s="75" customFormat="1" x14ac:dyDescent="0.35">
      <c r="A77" s="473"/>
      <c r="B77" s="249"/>
      <c r="C77" s="251"/>
      <c r="D77" s="251"/>
      <c r="E77" s="251"/>
      <c r="F77" s="217"/>
      <c r="G77" s="217"/>
      <c r="H77" s="228"/>
      <c r="I77" s="211"/>
      <c r="J77" s="212"/>
      <c r="K77" s="220"/>
      <c r="L77" s="220"/>
      <c r="M77" s="220"/>
      <c r="N77" s="219"/>
    </row>
    <row r="78" spans="1:14" s="75" customFormat="1" ht="15.5" x14ac:dyDescent="0.35">
      <c r="A78" s="473"/>
      <c r="B78" s="260"/>
      <c r="C78" s="261"/>
      <c r="D78" s="261"/>
      <c r="E78" s="261"/>
      <c r="F78" s="262"/>
      <c r="G78" s="255"/>
      <c r="H78" s="234" t="s">
        <v>459</v>
      </c>
      <c r="I78" s="256"/>
      <c r="J78" s="257"/>
      <c r="K78" s="258"/>
      <c r="L78" s="137">
        <f>SUM(L69:L76)</f>
        <v>0</v>
      </c>
      <c r="M78" s="137">
        <f>SUM(M69:M76)</f>
        <v>0</v>
      </c>
      <c r="N78" s="219"/>
    </row>
    <row r="79" spans="1:14" s="135" customFormat="1" x14ac:dyDescent="0.35">
      <c r="A79" s="473"/>
      <c r="B79" s="249"/>
      <c r="C79" s="251"/>
      <c r="D79" s="251"/>
      <c r="E79" s="251"/>
      <c r="F79" s="263"/>
      <c r="G79" s="263"/>
      <c r="H79" s="240"/>
      <c r="I79" s="211"/>
      <c r="J79" s="212"/>
      <c r="K79" s="220"/>
      <c r="L79" s="240"/>
      <c r="M79" s="240"/>
      <c r="N79" s="253"/>
    </row>
    <row r="80" spans="1:14" s="135" customFormat="1" ht="18.5" x14ac:dyDescent="0.35">
      <c r="A80" s="473"/>
      <c r="B80" s="57">
        <v>264</v>
      </c>
      <c r="C80" s="35" t="s">
        <v>60</v>
      </c>
      <c r="D80" s="35" t="s">
        <v>134</v>
      </c>
      <c r="E80" s="40"/>
      <c r="F80" s="160" t="s">
        <v>428</v>
      </c>
      <c r="G80" s="216" t="s">
        <v>73</v>
      </c>
      <c r="H80" s="228" t="s">
        <v>429</v>
      </c>
      <c r="I80" s="211" t="s">
        <v>6</v>
      </c>
      <c r="J80" s="212">
        <v>1</v>
      </c>
      <c r="K80" s="312">
        <v>0</v>
      </c>
      <c r="L80" s="220">
        <f>K80*J80</f>
        <v>0</v>
      </c>
      <c r="M80" s="312">
        <v>0</v>
      </c>
      <c r="N80" s="253"/>
    </row>
    <row r="81" spans="1:14" s="135" customFormat="1" x14ac:dyDescent="0.35">
      <c r="A81" s="473"/>
      <c r="B81" s="249"/>
      <c r="C81" s="251"/>
      <c r="D81" s="251"/>
      <c r="E81" s="251"/>
      <c r="F81" s="217"/>
      <c r="G81" s="217"/>
      <c r="H81" s="228"/>
      <c r="I81" s="211"/>
      <c r="J81" s="212"/>
      <c r="K81" s="220"/>
      <c r="L81" s="220"/>
      <c r="M81" s="220"/>
      <c r="N81" s="219"/>
    </row>
    <row r="82" spans="1:14" s="135" customFormat="1" ht="15.5" x14ac:dyDescent="0.35">
      <c r="A82" s="473"/>
      <c r="B82" s="260"/>
      <c r="C82" s="261"/>
      <c r="D82" s="261"/>
      <c r="E82" s="261"/>
      <c r="F82" s="262"/>
      <c r="G82" s="255"/>
      <c r="H82" s="234" t="s">
        <v>459</v>
      </c>
      <c r="I82" s="256"/>
      <c r="J82" s="257"/>
      <c r="K82" s="258"/>
      <c r="L82" s="137">
        <f>SUM(L80)</f>
        <v>0</v>
      </c>
      <c r="M82" s="137">
        <f>SUM(M80)</f>
        <v>0</v>
      </c>
      <c r="N82" s="219"/>
    </row>
    <row r="83" spans="1:14" s="75" customFormat="1" ht="15" thickBot="1" x14ac:dyDescent="0.4">
      <c r="A83" s="473"/>
      <c r="B83" s="59"/>
      <c r="C83" s="61"/>
      <c r="D83" s="61"/>
      <c r="E83" s="61"/>
      <c r="F83" s="61"/>
      <c r="G83" s="61"/>
      <c r="H83" s="166"/>
      <c r="I83" s="166"/>
      <c r="J83" s="167"/>
      <c r="K83" s="166"/>
      <c r="L83" s="166"/>
      <c r="M83" s="166"/>
      <c r="N83" s="219"/>
    </row>
    <row r="84" spans="1:14" s="75" customFormat="1" ht="19" thickBot="1" x14ac:dyDescent="0.4">
      <c r="A84" s="473"/>
      <c r="B84" s="453" t="s">
        <v>56</v>
      </c>
      <c r="C84" s="454"/>
      <c r="D84" s="454"/>
      <c r="E84" s="454"/>
      <c r="F84" s="454"/>
      <c r="G84" s="140"/>
      <c r="H84" s="140" t="s">
        <v>459</v>
      </c>
      <c r="I84" s="50"/>
      <c r="J84" s="94"/>
      <c r="K84" s="51"/>
      <c r="L84" s="52">
        <f>L82+L78</f>
        <v>0</v>
      </c>
      <c r="M84" s="53">
        <f>M78+M82</f>
        <v>0</v>
      </c>
      <c r="N84" s="219"/>
    </row>
    <row r="85" spans="1:14" ht="19" thickBot="1" x14ac:dyDescent="0.4">
      <c r="A85" s="474"/>
      <c r="B85" s="58"/>
      <c r="C85" s="21"/>
      <c r="D85" s="21"/>
      <c r="E85" s="14"/>
      <c r="F85" s="15"/>
      <c r="G85" s="15"/>
      <c r="H85" s="16"/>
      <c r="I85" s="17"/>
      <c r="J85" s="96"/>
      <c r="K85" s="277"/>
      <c r="L85" s="278"/>
      <c r="M85" s="276"/>
      <c r="N85" s="254"/>
    </row>
    <row r="86" spans="1:14" ht="18.75" customHeight="1" x14ac:dyDescent="0.35">
      <c r="A86" s="469" t="s">
        <v>71</v>
      </c>
      <c r="B86" s="56"/>
      <c r="C86" s="20"/>
      <c r="D86" s="20"/>
      <c r="E86" s="8"/>
      <c r="F86" s="13"/>
      <c r="G86" s="13"/>
      <c r="H86" s="141"/>
      <c r="I86" s="68"/>
      <c r="J86" s="95"/>
      <c r="K86" s="69"/>
      <c r="L86" s="69"/>
      <c r="M86" s="69"/>
      <c r="N86" s="146"/>
    </row>
    <row r="87" spans="1:14" ht="18.75" customHeight="1" x14ac:dyDescent="0.35">
      <c r="A87" s="475"/>
      <c r="B87" s="57"/>
      <c r="C87" s="35" t="s">
        <v>72</v>
      </c>
      <c r="D87" s="35" t="s">
        <v>141</v>
      </c>
      <c r="E87" s="40"/>
      <c r="F87" s="160" t="s">
        <v>714</v>
      </c>
      <c r="G87" s="161"/>
      <c r="H87" s="103"/>
      <c r="I87" s="68"/>
      <c r="J87" s="95"/>
      <c r="K87" s="69"/>
      <c r="L87" s="69"/>
      <c r="M87" s="69"/>
      <c r="N87" s="148"/>
    </row>
    <row r="88" spans="1:14" ht="18.75" customHeight="1" x14ac:dyDescent="0.35">
      <c r="A88" s="475"/>
      <c r="B88" s="249"/>
      <c r="C88" s="259"/>
      <c r="D88" s="259"/>
      <c r="E88" s="251"/>
      <c r="F88" s="241"/>
      <c r="G88" s="161"/>
      <c r="H88" s="103"/>
      <c r="I88" s="68"/>
      <c r="J88" s="95"/>
      <c r="K88" s="69"/>
      <c r="L88" s="69"/>
      <c r="M88" s="69"/>
      <c r="N88" s="148"/>
    </row>
    <row r="89" spans="1:14" ht="15.5" x14ac:dyDescent="0.35">
      <c r="A89" s="475"/>
      <c r="B89" s="260"/>
      <c r="C89" s="261"/>
      <c r="D89" s="261"/>
      <c r="E89" s="261"/>
      <c r="F89" s="262"/>
      <c r="G89" s="31"/>
      <c r="H89" s="32" t="s">
        <v>459</v>
      </c>
      <c r="I89" s="33"/>
      <c r="J89" s="98"/>
      <c r="K89" s="34"/>
      <c r="L89" s="137">
        <f>SUM(L87)</f>
        <v>0</v>
      </c>
      <c r="M89" s="137">
        <f>SUM(M87)</f>
        <v>0</v>
      </c>
      <c r="N89" s="148"/>
    </row>
    <row r="90" spans="1:14" ht="15" thickBot="1" x14ac:dyDescent="0.4">
      <c r="A90" s="475"/>
      <c r="B90" s="56"/>
      <c r="C90" s="8"/>
      <c r="D90" s="8"/>
      <c r="E90" s="8"/>
      <c r="F90" s="8"/>
      <c r="G90" s="8"/>
      <c r="H90" s="141"/>
      <c r="I90" s="141"/>
      <c r="J90" s="162"/>
      <c r="K90" s="141"/>
      <c r="L90" s="141"/>
      <c r="M90" s="141"/>
      <c r="N90" s="148"/>
    </row>
    <row r="91" spans="1:14" ht="19" thickBot="1" x14ac:dyDescent="0.4">
      <c r="A91" s="475"/>
      <c r="B91" s="453" t="s">
        <v>57</v>
      </c>
      <c r="C91" s="484"/>
      <c r="D91" s="484"/>
      <c r="E91" s="484"/>
      <c r="F91" s="484"/>
      <c r="G91" s="140"/>
      <c r="H91" s="140" t="s">
        <v>459</v>
      </c>
      <c r="I91" s="50"/>
      <c r="J91" s="94"/>
      <c r="K91" s="51"/>
      <c r="L91" s="52">
        <f>L89</f>
        <v>0</v>
      </c>
      <c r="M91" s="53">
        <f>M89</f>
        <v>0</v>
      </c>
      <c r="N91" s="171"/>
    </row>
    <row r="92" spans="1:14" ht="19" thickBot="1" x14ac:dyDescent="0.4">
      <c r="A92" s="483"/>
      <c r="B92" s="58"/>
      <c r="C92" s="21"/>
      <c r="D92" s="21"/>
      <c r="E92" s="14"/>
      <c r="F92" s="15"/>
      <c r="G92" s="15"/>
      <c r="H92" s="16"/>
      <c r="I92" s="17"/>
      <c r="J92" s="96"/>
      <c r="K92" s="277"/>
      <c r="L92" s="278"/>
      <c r="M92" s="276"/>
      <c r="N92" s="149"/>
    </row>
    <row r="93" spans="1:14" x14ac:dyDescent="0.35">
      <c r="A93" s="78"/>
      <c r="J93" s="99"/>
    </row>
    <row r="94" spans="1:14" x14ac:dyDescent="0.35">
      <c r="A94" s="78"/>
      <c r="J94" s="99"/>
    </row>
    <row r="95" spans="1:14" x14ac:dyDescent="0.35">
      <c r="A95" s="78"/>
      <c r="J95" s="99"/>
    </row>
    <row r="96" spans="1:14" x14ac:dyDescent="0.35">
      <c r="A96" s="78"/>
      <c r="J96" s="99"/>
    </row>
    <row r="97" spans="1:10" x14ac:dyDescent="0.35">
      <c r="A97" s="78"/>
      <c r="J97" s="99"/>
    </row>
    <row r="98" spans="1:10" x14ac:dyDescent="0.35">
      <c r="A98" s="78"/>
      <c r="J98" s="99"/>
    </row>
    <row r="99" spans="1:10" x14ac:dyDescent="0.35">
      <c r="A99" s="78"/>
      <c r="J99" s="99"/>
    </row>
    <row r="100" spans="1:10" x14ac:dyDescent="0.35">
      <c r="A100" s="78"/>
      <c r="J100" s="99"/>
    </row>
    <row r="101" spans="1:10" x14ac:dyDescent="0.35">
      <c r="A101" s="78"/>
      <c r="J101" s="99"/>
    </row>
    <row r="102" spans="1:10" x14ac:dyDescent="0.35">
      <c r="A102" s="78"/>
      <c r="J102" s="99"/>
    </row>
    <row r="103" spans="1:10" x14ac:dyDescent="0.35">
      <c r="A103" s="78"/>
      <c r="J103" s="99"/>
    </row>
    <row r="104" spans="1:10" x14ac:dyDescent="0.35">
      <c r="A104" s="78"/>
      <c r="J104" s="99"/>
    </row>
    <row r="105" spans="1:10" x14ac:dyDescent="0.35">
      <c r="A105" s="78"/>
      <c r="J105" s="99"/>
    </row>
    <row r="106" spans="1:10" x14ac:dyDescent="0.35">
      <c r="A106" s="78"/>
      <c r="J106" s="99"/>
    </row>
    <row r="107" spans="1:10" x14ac:dyDescent="0.35">
      <c r="A107" s="78"/>
      <c r="J107" s="99"/>
    </row>
    <row r="108" spans="1:10" x14ac:dyDescent="0.35">
      <c r="A108" s="78"/>
      <c r="J108" s="99"/>
    </row>
    <row r="109" spans="1:10" x14ac:dyDescent="0.35">
      <c r="A109" s="78"/>
      <c r="J109" s="99"/>
    </row>
    <row r="110" spans="1:10" x14ac:dyDescent="0.35">
      <c r="A110" s="78"/>
      <c r="J110" s="99"/>
    </row>
    <row r="111" spans="1:10" x14ac:dyDescent="0.35">
      <c r="A111" s="78"/>
      <c r="J111" s="99"/>
    </row>
    <row r="112" spans="1:10" x14ac:dyDescent="0.35">
      <c r="A112" s="78"/>
      <c r="J112" s="99"/>
    </row>
    <row r="113" spans="1:10" x14ac:dyDescent="0.35">
      <c r="A113" s="78"/>
      <c r="J113" s="99"/>
    </row>
    <row r="114" spans="1:10" x14ac:dyDescent="0.35">
      <c r="A114" s="78"/>
      <c r="J114" s="99"/>
    </row>
    <row r="115" spans="1:10" x14ac:dyDescent="0.35">
      <c r="A115" s="78"/>
      <c r="J115" s="99"/>
    </row>
    <row r="116" spans="1:10" x14ac:dyDescent="0.35">
      <c r="A116" s="78"/>
      <c r="J116" s="99"/>
    </row>
    <row r="117" spans="1:10" x14ac:dyDescent="0.35">
      <c r="A117" s="78"/>
      <c r="J117" s="99"/>
    </row>
    <row r="118" spans="1:10" x14ac:dyDescent="0.35">
      <c r="A118" s="78"/>
      <c r="J118" s="99"/>
    </row>
    <row r="119" spans="1:10" x14ac:dyDescent="0.35">
      <c r="A119" s="78"/>
      <c r="J119" s="99"/>
    </row>
    <row r="120" spans="1:10" x14ac:dyDescent="0.35">
      <c r="A120" s="78"/>
      <c r="J120" s="99"/>
    </row>
    <row r="121" spans="1:10" x14ac:dyDescent="0.35">
      <c r="A121" s="78"/>
      <c r="J121" s="99"/>
    </row>
    <row r="122" spans="1:10" x14ac:dyDescent="0.35">
      <c r="A122" s="78"/>
      <c r="J122" s="99"/>
    </row>
    <row r="123" spans="1:10" x14ac:dyDescent="0.35">
      <c r="A123" s="78"/>
      <c r="J123" s="99"/>
    </row>
    <row r="124" spans="1:10" x14ac:dyDescent="0.35">
      <c r="A124" s="78"/>
      <c r="J124" s="99"/>
    </row>
    <row r="125" spans="1:10" x14ac:dyDescent="0.35">
      <c r="A125" s="78"/>
      <c r="J125" s="99"/>
    </row>
    <row r="126" spans="1:10" x14ac:dyDescent="0.35">
      <c r="A126" s="78"/>
      <c r="J126" s="99"/>
    </row>
    <row r="127" spans="1:10" x14ac:dyDescent="0.35">
      <c r="A127" s="78"/>
      <c r="J127" s="99"/>
    </row>
    <row r="128" spans="1:10" x14ac:dyDescent="0.35">
      <c r="A128" s="78"/>
      <c r="J128" s="99"/>
    </row>
    <row r="129" spans="1:10" x14ac:dyDescent="0.35">
      <c r="A129" s="78"/>
      <c r="J129" s="99"/>
    </row>
    <row r="130" spans="1:10" x14ac:dyDescent="0.35">
      <c r="A130" s="78"/>
      <c r="J130" s="99"/>
    </row>
    <row r="131" spans="1:10" x14ac:dyDescent="0.35">
      <c r="A131" s="78"/>
      <c r="J131" s="99"/>
    </row>
    <row r="132" spans="1:10" x14ac:dyDescent="0.35">
      <c r="A132" s="78"/>
      <c r="J132" s="99"/>
    </row>
    <row r="133" spans="1:10" x14ac:dyDescent="0.35">
      <c r="J133" s="99"/>
    </row>
    <row r="134" spans="1:10" x14ac:dyDescent="0.35">
      <c r="J134" s="99"/>
    </row>
    <row r="135" spans="1:10" x14ac:dyDescent="0.35">
      <c r="J135" s="99"/>
    </row>
    <row r="136" spans="1:10" x14ac:dyDescent="0.35">
      <c r="J136" s="99"/>
    </row>
    <row r="137" spans="1:10" x14ac:dyDescent="0.35">
      <c r="J137" s="99"/>
    </row>
    <row r="138" spans="1:10" x14ac:dyDescent="0.35">
      <c r="J138" s="99"/>
    </row>
    <row r="139" spans="1:10" x14ac:dyDescent="0.35">
      <c r="J139" s="99"/>
    </row>
    <row r="140" spans="1:10" x14ac:dyDescent="0.35">
      <c r="J140" s="99"/>
    </row>
    <row r="141" spans="1:10" x14ac:dyDescent="0.35">
      <c r="J141" s="99"/>
    </row>
    <row r="142" spans="1:10" x14ac:dyDescent="0.35">
      <c r="J142" s="99"/>
    </row>
    <row r="143" spans="1:10" x14ac:dyDescent="0.35">
      <c r="J143" s="99"/>
    </row>
    <row r="144" spans="1:10" x14ac:dyDescent="0.35">
      <c r="J144" s="99"/>
    </row>
    <row r="145" spans="10:10" x14ac:dyDescent="0.35">
      <c r="J145" s="99"/>
    </row>
    <row r="146" spans="10:10" x14ac:dyDescent="0.35">
      <c r="J146" s="99"/>
    </row>
    <row r="147" spans="10:10" x14ac:dyDescent="0.35">
      <c r="J147" s="99"/>
    </row>
    <row r="148" spans="10:10" x14ac:dyDescent="0.35">
      <c r="J148" s="99"/>
    </row>
    <row r="149" spans="10:10" x14ac:dyDescent="0.35">
      <c r="J149" s="99"/>
    </row>
    <row r="150" spans="10:10" x14ac:dyDescent="0.35">
      <c r="J150" s="99"/>
    </row>
    <row r="151" spans="10:10" x14ac:dyDescent="0.35">
      <c r="J151" s="99"/>
    </row>
    <row r="152" spans="10:10" x14ac:dyDescent="0.35">
      <c r="J152" s="99"/>
    </row>
    <row r="153" spans="10:10" x14ac:dyDescent="0.35">
      <c r="J153" s="99"/>
    </row>
    <row r="154" spans="10:10" x14ac:dyDescent="0.35">
      <c r="J154" s="99"/>
    </row>
    <row r="155" spans="10:10" x14ac:dyDescent="0.35">
      <c r="J155" s="99"/>
    </row>
    <row r="156" spans="10:10" x14ac:dyDescent="0.35">
      <c r="J156" s="99"/>
    </row>
    <row r="157" spans="10:10" x14ac:dyDescent="0.35">
      <c r="J157" s="99"/>
    </row>
    <row r="158" spans="10:10" x14ac:dyDescent="0.35">
      <c r="J158" s="99"/>
    </row>
    <row r="159" spans="10:10" x14ac:dyDescent="0.35">
      <c r="J159" s="99"/>
    </row>
    <row r="160" spans="10:10" x14ac:dyDescent="0.35">
      <c r="J160" s="99"/>
    </row>
    <row r="161" spans="10:10" x14ac:dyDescent="0.35">
      <c r="J161" s="99"/>
    </row>
    <row r="162" spans="10:10" x14ac:dyDescent="0.35">
      <c r="J162" s="99"/>
    </row>
    <row r="163" spans="10:10" x14ac:dyDescent="0.35">
      <c r="J163" s="99"/>
    </row>
    <row r="164" spans="10:10" x14ac:dyDescent="0.35">
      <c r="J164" s="99"/>
    </row>
    <row r="165" spans="10:10" x14ac:dyDescent="0.35">
      <c r="J165" s="99"/>
    </row>
    <row r="166" spans="10:10" x14ac:dyDescent="0.35">
      <c r="J166" s="99"/>
    </row>
    <row r="167" spans="10:10" x14ac:dyDescent="0.35">
      <c r="J167" s="99"/>
    </row>
    <row r="168" spans="10:10" x14ac:dyDescent="0.35">
      <c r="J168" s="99"/>
    </row>
    <row r="169" spans="10:10" x14ac:dyDescent="0.35">
      <c r="J169" s="99"/>
    </row>
    <row r="170" spans="10:10" x14ac:dyDescent="0.35">
      <c r="J170" s="99"/>
    </row>
    <row r="171" spans="10:10" x14ac:dyDescent="0.35">
      <c r="J171" s="99"/>
    </row>
    <row r="172" spans="10:10" x14ac:dyDescent="0.35">
      <c r="J172" s="99"/>
    </row>
    <row r="173" spans="10:10" x14ac:dyDescent="0.35">
      <c r="J173" s="99"/>
    </row>
    <row r="174" spans="10:10" x14ac:dyDescent="0.35">
      <c r="J174" s="99"/>
    </row>
    <row r="175" spans="10:10" x14ac:dyDescent="0.35">
      <c r="J175" s="99"/>
    </row>
    <row r="176" spans="10:10" x14ac:dyDescent="0.35">
      <c r="J176" s="99"/>
    </row>
    <row r="177" spans="10:10" x14ac:dyDescent="0.35">
      <c r="J177" s="99"/>
    </row>
    <row r="178" spans="10:10" x14ac:dyDescent="0.35">
      <c r="J178" s="99"/>
    </row>
    <row r="179" spans="10:10" x14ac:dyDescent="0.35">
      <c r="J179" s="99"/>
    </row>
    <row r="180" spans="10:10" x14ac:dyDescent="0.35">
      <c r="J180" s="99"/>
    </row>
    <row r="181" spans="10:10" x14ac:dyDescent="0.35">
      <c r="J181" s="99"/>
    </row>
    <row r="182" spans="10:10" x14ac:dyDescent="0.35">
      <c r="J182" s="99"/>
    </row>
    <row r="183" spans="10:10" x14ac:dyDescent="0.35">
      <c r="J183" s="99"/>
    </row>
    <row r="184" spans="10:10" x14ac:dyDescent="0.35">
      <c r="J184" s="99"/>
    </row>
    <row r="185" spans="10:10" x14ac:dyDescent="0.35">
      <c r="J185" s="99"/>
    </row>
    <row r="186" spans="10:10" x14ac:dyDescent="0.35">
      <c r="J186" s="99"/>
    </row>
    <row r="187" spans="10:10" x14ac:dyDescent="0.35">
      <c r="J187" s="99"/>
    </row>
    <row r="188" spans="10:10" x14ac:dyDescent="0.35">
      <c r="J188" s="99"/>
    </row>
    <row r="189" spans="10:10" x14ac:dyDescent="0.35">
      <c r="J189" s="99"/>
    </row>
    <row r="190" spans="10:10" x14ac:dyDescent="0.35">
      <c r="J190" s="99"/>
    </row>
    <row r="191" spans="10:10" x14ac:dyDescent="0.35">
      <c r="J191" s="99"/>
    </row>
    <row r="192" spans="10:10" x14ac:dyDescent="0.35">
      <c r="J192" s="99"/>
    </row>
    <row r="193" spans="10:10" x14ac:dyDescent="0.35">
      <c r="J193" s="99"/>
    </row>
    <row r="194" spans="10:10" x14ac:dyDescent="0.35">
      <c r="J194" s="99"/>
    </row>
    <row r="195" spans="10:10" x14ac:dyDescent="0.35">
      <c r="J195" s="99"/>
    </row>
    <row r="196" spans="10:10" x14ac:dyDescent="0.35">
      <c r="J196" s="99"/>
    </row>
    <row r="197" spans="10:10" x14ac:dyDescent="0.35">
      <c r="J197" s="99"/>
    </row>
    <row r="198" spans="10:10" x14ac:dyDescent="0.35">
      <c r="J198" s="99"/>
    </row>
    <row r="199" spans="10:10" x14ac:dyDescent="0.35">
      <c r="J199" s="99"/>
    </row>
    <row r="200" spans="10:10" x14ac:dyDescent="0.35">
      <c r="J200" s="99"/>
    </row>
    <row r="201" spans="10:10" x14ac:dyDescent="0.35">
      <c r="J201" s="99"/>
    </row>
    <row r="202" spans="10:10" x14ac:dyDescent="0.35">
      <c r="J202" s="99"/>
    </row>
    <row r="203" spans="10:10" x14ac:dyDescent="0.35">
      <c r="J203" s="99"/>
    </row>
    <row r="204" spans="10:10" x14ac:dyDescent="0.35">
      <c r="J204" s="99"/>
    </row>
    <row r="205" spans="10:10" x14ac:dyDescent="0.35">
      <c r="J205" s="99"/>
    </row>
    <row r="206" spans="10:10" x14ac:dyDescent="0.35">
      <c r="J206" s="99"/>
    </row>
    <row r="207" spans="10:10" x14ac:dyDescent="0.35">
      <c r="J207" s="99"/>
    </row>
    <row r="208" spans="10:10" x14ac:dyDescent="0.35">
      <c r="J208" s="99"/>
    </row>
    <row r="209" spans="10:10" x14ac:dyDescent="0.35">
      <c r="J209" s="99"/>
    </row>
    <row r="210" spans="10:10" x14ac:dyDescent="0.35">
      <c r="J210" s="99"/>
    </row>
    <row r="211" spans="10:10" x14ac:dyDescent="0.35">
      <c r="J211" s="99"/>
    </row>
    <row r="212" spans="10:10" x14ac:dyDescent="0.35">
      <c r="J212" s="99"/>
    </row>
    <row r="213" spans="10:10" x14ac:dyDescent="0.35">
      <c r="J213" s="99"/>
    </row>
    <row r="214" spans="10:10" x14ac:dyDescent="0.35">
      <c r="J214" s="99"/>
    </row>
    <row r="215" spans="10:10" x14ac:dyDescent="0.35">
      <c r="J215" s="99"/>
    </row>
    <row r="216" spans="10:10" x14ac:dyDescent="0.35">
      <c r="J216" s="99"/>
    </row>
    <row r="217" spans="10:10" x14ac:dyDescent="0.35">
      <c r="J217" s="99"/>
    </row>
    <row r="218" spans="10:10" x14ac:dyDescent="0.35">
      <c r="J218" s="99"/>
    </row>
    <row r="219" spans="10:10" x14ac:dyDescent="0.35">
      <c r="J219" s="99"/>
    </row>
    <row r="220" spans="10:10" x14ac:dyDescent="0.35">
      <c r="J220" s="99"/>
    </row>
    <row r="221" spans="10:10" x14ac:dyDescent="0.35">
      <c r="J221" s="99"/>
    </row>
    <row r="222" spans="10:10" x14ac:dyDescent="0.35">
      <c r="J222" s="99"/>
    </row>
    <row r="223" spans="10:10" x14ac:dyDescent="0.35">
      <c r="J223" s="99"/>
    </row>
    <row r="224" spans="10:10" x14ac:dyDescent="0.35">
      <c r="J224" s="99"/>
    </row>
    <row r="225" spans="10:10" x14ac:dyDescent="0.35">
      <c r="J225" s="99"/>
    </row>
    <row r="226" spans="10:10" x14ac:dyDescent="0.35">
      <c r="J226" s="99"/>
    </row>
    <row r="227" spans="10:10" x14ac:dyDescent="0.35">
      <c r="J227" s="99"/>
    </row>
    <row r="228" spans="10:10" x14ac:dyDescent="0.35">
      <c r="J228" s="99"/>
    </row>
    <row r="229" spans="10:10" x14ac:dyDescent="0.35">
      <c r="J229" s="99"/>
    </row>
    <row r="230" spans="10:10" x14ac:dyDescent="0.35">
      <c r="J230" s="99"/>
    </row>
    <row r="231" spans="10:10" x14ac:dyDescent="0.35">
      <c r="J231" s="99"/>
    </row>
    <row r="232" spans="10:10" x14ac:dyDescent="0.35">
      <c r="J232" s="99"/>
    </row>
    <row r="233" spans="10:10" x14ac:dyDescent="0.35">
      <c r="J233" s="99"/>
    </row>
    <row r="234" spans="10:10" x14ac:dyDescent="0.35">
      <c r="J234" s="99"/>
    </row>
    <row r="235" spans="10:10" x14ac:dyDescent="0.35">
      <c r="J235" s="99"/>
    </row>
    <row r="236" spans="10:10" x14ac:dyDescent="0.35">
      <c r="J236" s="99"/>
    </row>
    <row r="237" spans="10:10" x14ac:dyDescent="0.35">
      <c r="J237" s="99"/>
    </row>
    <row r="238" spans="10:10" x14ac:dyDescent="0.35">
      <c r="J238" s="99"/>
    </row>
    <row r="239" spans="10:10" x14ac:dyDescent="0.35">
      <c r="J239" s="99"/>
    </row>
    <row r="240" spans="10:10" x14ac:dyDescent="0.35">
      <c r="J240" s="99"/>
    </row>
    <row r="241" spans="10:10" x14ac:dyDescent="0.35">
      <c r="J241" s="99"/>
    </row>
    <row r="242" spans="10:10" x14ac:dyDescent="0.35">
      <c r="J242" s="99"/>
    </row>
    <row r="243" spans="10:10" x14ac:dyDescent="0.35">
      <c r="J243" s="99"/>
    </row>
    <row r="244" spans="10:10" x14ac:dyDescent="0.35">
      <c r="J244" s="99"/>
    </row>
    <row r="245" spans="10:10" x14ac:dyDescent="0.35">
      <c r="J245" s="99"/>
    </row>
    <row r="246" spans="10:10" x14ac:dyDescent="0.35">
      <c r="J246" s="99"/>
    </row>
    <row r="247" spans="10:10" x14ac:dyDescent="0.35">
      <c r="J247" s="99"/>
    </row>
    <row r="248" spans="10:10" x14ac:dyDescent="0.35">
      <c r="J248" s="99"/>
    </row>
    <row r="249" spans="10:10" x14ac:dyDescent="0.35">
      <c r="J249" s="99"/>
    </row>
    <row r="250" spans="10:10" x14ac:dyDescent="0.35">
      <c r="J250" s="99"/>
    </row>
    <row r="251" spans="10:10" x14ac:dyDescent="0.35">
      <c r="J251" s="99"/>
    </row>
    <row r="252" spans="10:10" x14ac:dyDescent="0.35">
      <c r="J252" s="99"/>
    </row>
    <row r="253" spans="10:10" x14ac:dyDescent="0.35">
      <c r="J253" s="99"/>
    </row>
    <row r="254" spans="10:10" x14ac:dyDescent="0.35">
      <c r="J254" s="99"/>
    </row>
    <row r="255" spans="10:10" x14ac:dyDescent="0.35">
      <c r="J255" s="99"/>
    </row>
    <row r="256" spans="10:10" x14ac:dyDescent="0.35">
      <c r="J256" s="99"/>
    </row>
    <row r="257" spans="10:10" x14ac:dyDescent="0.35">
      <c r="J257" s="99"/>
    </row>
    <row r="258" spans="10:10" x14ac:dyDescent="0.35">
      <c r="J258" s="99"/>
    </row>
    <row r="259" spans="10:10" x14ac:dyDescent="0.35">
      <c r="J259" s="99"/>
    </row>
    <row r="260" spans="10:10" x14ac:dyDescent="0.35">
      <c r="J260" s="99"/>
    </row>
    <row r="261" spans="10:10" x14ac:dyDescent="0.35">
      <c r="J261" s="99"/>
    </row>
    <row r="262" spans="10:10" x14ac:dyDescent="0.35">
      <c r="J262" s="99"/>
    </row>
    <row r="263" spans="10:10" x14ac:dyDescent="0.35">
      <c r="J263" s="99"/>
    </row>
    <row r="264" spans="10:10" x14ac:dyDescent="0.35">
      <c r="J264" s="99"/>
    </row>
    <row r="265" spans="10:10" x14ac:dyDescent="0.35">
      <c r="J265" s="99"/>
    </row>
    <row r="266" spans="10:10" x14ac:dyDescent="0.35">
      <c r="J266" s="99"/>
    </row>
    <row r="267" spans="10:10" x14ac:dyDescent="0.35">
      <c r="J267" s="99"/>
    </row>
    <row r="268" spans="10:10" x14ac:dyDescent="0.35">
      <c r="J268" s="99"/>
    </row>
    <row r="269" spans="10:10" x14ac:dyDescent="0.35">
      <c r="J269" s="99"/>
    </row>
    <row r="270" spans="10:10" x14ac:dyDescent="0.35">
      <c r="J270" s="99"/>
    </row>
    <row r="271" spans="10:10" x14ac:dyDescent="0.35">
      <c r="J271" s="99"/>
    </row>
    <row r="272" spans="10:10" x14ac:dyDescent="0.35">
      <c r="J272" s="99"/>
    </row>
    <row r="273" spans="10:10" x14ac:dyDescent="0.35">
      <c r="J273" s="99"/>
    </row>
    <row r="274" spans="10:10" x14ac:dyDescent="0.35">
      <c r="J274" s="99"/>
    </row>
    <row r="275" spans="10:10" x14ac:dyDescent="0.35">
      <c r="J275" s="99"/>
    </row>
    <row r="276" spans="10:10" x14ac:dyDescent="0.35">
      <c r="J276" s="99"/>
    </row>
    <row r="277" spans="10:10" x14ac:dyDescent="0.35">
      <c r="J277" s="99"/>
    </row>
    <row r="278" spans="10:10" x14ac:dyDescent="0.35">
      <c r="J278" s="99"/>
    </row>
    <row r="279" spans="10:10" x14ac:dyDescent="0.35">
      <c r="J279" s="99"/>
    </row>
    <row r="280" spans="10:10" x14ac:dyDescent="0.35">
      <c r="J280" s="99"/>
    </row>
    <row r="281" spans="10:10" x14ac:dyDescent="0.35">
      <c r="J281" s="99"/>
    </row>
    <row r="282" spans="10:10" x14ac:dyDescent="0.35">
      <c r="J282" s="99"/>
    </row>
    <row r="283" spans="10:10" x14ac:dyDescent="0.35">
      <c r="J283" s="99"/>
    </row>
    <row r="284" spans="10:10" x14ac:dyDescent="0.35">
      <c r="J284" s="99"/>
    </row>
    <row r="285" spans="10:10" x14ac:dyDescent="0.35">
      <c r="J285" s="99"/>
    </row>
    <row r="286" spans="10:10" x14ac:dyDescent="0.35">
      <c r="J286" s="99"/>
    </row>
    <row r="287" spans="10:10" x14ac:dyDescent="0.35">
      <c r="J287" s="99"/>
    </row>
    <row r="288" spans="10:10" x14ac:dyDescent="0.35">
      <c r="J288" s="99"/>
    </row>
    <row r="289" spans="10:10" x14ac:dyDescent="0.35">
      <c r="J289" s="99"/>
    </row>
  </sheetData>
  <sheetProtection sheet="1" objects="1" scenarios="1"/>
  <mergeCells count="22">
    <mergeCell ref="A9:G9"/>
    <mergeCell ref="A2:N2"/>
    <mergeCell ref="A5:G5"/>
    <mergeCell ref="A6:G6"/>
    <mergeCell ref="A7:G7"/>
    <mergeCell ref="A8:G8"/>
    <mergeCell ref="A10:G10"/>
    <mergeCell ref="F14:G14"/>
    <mergeCell ref="B23:F23"/>
    <mergeCell ref="A25:A45"/>
    <mergeCell ref="B44:F44"/>
    <mergeCell ref="A16:A24"/>
    <mergeCell ref="C14:D14"/>
    <mergeCell ref="A11:K11"/>
    <mergeCell ref="A86:A92"/>
    <mergeCell ref="B91:F91"/>
    <mergeCell ref="A46:A60"/>
    <mergeCell ref="B59:F59"/>
    <mergeCell ref="A61:A67"/>
    <mergeCell ref="B66:F66"/>
    <mergeCell ref="A68:A85"/>
    <mergeCell ref="B84:F84"/>
  </mergeCells>
  <pageMargins left="0.23622047244094491" right="0.23622047244094491" top="0.15748031496062992" bottom="0.27559055118110237" header="0.15748031496062992" footer="0.15748031496062992"/>
  <pageSetup paperSize="9" scale="43" firstPageNumber="38" fitToHeight="0" orientation="landscape" useFirstPageNumber="1" horizontalDpi="1200" verticalDpi="1200" r:id="rId1"/>
  <headerFooter>
    <oddFooter>&amp;C&amp;P/43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N302"/>
  <sheetViews>
    <sheetView view="pageLayout" zoomScale="40" zoomScaleNormal="70" zoomScalePageLayoutView="40" workbookViewId="0">
      <selection activeCell="K17" sqref="K17"/>
    </sheetView>
  </sheetViews>
  <sheetFormatPr defaultColWidth="9.1796875" defaultRowHeight="14.5" x14ac:dyDescent="0.35"/>
  <cols>
    <col min="1" max="1" width="5" style="43" customWidth="1"/>
    <col min="2" max="2" width="5.7265625" style="54" customWidth="1"/>
    <col min="3" max="3" width="5.81640625" style="6" customWidth="1"/>
    <col min="4" max="4" width="7" style="6" customWidth="1"/>
    <col min="5" max="5" width="3.7265625" style="6" customWidth="1"/>
    <col min="6" max="6" width="50.7265625" style="6" customWidth="1"/>
    <col min="7" max="7" width="20.26953125" style="6" customWidth="1"/>
    <col min="8" max="8" width="55.7265625" style="43" customWidth="1"/>
    <col min="9" max="11" width="13.7265625" style="43" customWidth="1"/>
    <col min="12" max="13" width="25.7265625" style="43" customWidth="1"/>
    <col min="14" max="14" width="85.7265625" style="43" customWidth="1"/>
    <col min="15" max="15" width="13.7265625" style="43" customWidth="1"/>
    <col min="16" max="16384" width="9.1796875" style="43"/>
  </cols>
  <sheetData>
    <row r="2" spans="1:14" s="151" customFormat="1" ht="35.15" customHeight="1" x14ac:dyDescent="0.35">
      <c r="A2" s="467" t="s">
        <v>757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</row>
    <row r="3" spans="1:14" s="151" customFormat="1" ht="10" customHeight="1" thickBot="1" x14ac:dyDescent="0.4">
      <c r="A3" s="264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</row>
    <row r="4" spans="1:14" ht="26.5" thickBot="1" x14ac:dyDescent="0.4">
      <c r="A4" s="242"/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153" t="s">
        <v>7</v>
      </c>
      <c r="M4" s="153" t="s">
        <v>8</v>
      </c>
      <c r="N4" s="152"/>
    </row>
    <row r="5" spans="1:14" ht="18.5" x14ac:dyDescent="0.35">
      <c r="A5" s="457" t="s">
        <v>55</v>
      </c>
      <c r="B5" s="458"/>
      <c r="C5" s="458"/>
      <c r="D5" s="458"/>
      <c r="E5" s="458"/>
      <c r="F5" s="458"/>
      <c r="G5" s="458"/>
      <c r="H5" s="243"/>
      <c r="I5" s="243"/>
      <c r="J5" s="243"/>
      <c r="K5" s="243"/>
      <c r="L5" s="154">
        <f>L21</f>
        <v>0</v>
      </c>
      <c r="M5" s="154">
        <f>M21</f>
        <v>0</v>
      </c>
      <c r="N5" s="152"/>
    </row>
    <row r="6" spans="1:14" ht="18.5" x14ac:dyDescent="0.35">
      <c r="A6" s="457" t="s">
        <v>37</v>
      </c>
      <c r="B6" s="458"/>
      <c r="C6" s="458"/>
      <c r="D6" s="458"/>
      <c r="E6" s="458"/>
      <c r="F6" s="458"/>
      <c r="G6" s="458"/>
      <c r="H6" s="243"/>
      <c r="I6" s="243"/>
      <c r="J6" s="243"/>
      <c r="K6" s="243"/>
      <c r="L6" s="154">
        <f>L63</f>
        <v>0</v>
      </c>
      <c r="M6" s="154">
        <f>M63</f>
        <v>0</v>
      </c>
      <c r="N6" s="152"/>
    </row>
    <row r="7" spans="1:14" ht="18.5" x14ac:dyDescent="0.35">
      <c r="A7" s="457" t="s">
        <v>43</v>
      </c>
      <c r="B7" s="458"/>
      <c r="C7" s="458"/>
      <c r="D7" s="458"/>
      <c r="E7" s="458"/>
      <c r="F7" s="458"/>
      <c r="G7" s="458"/>
      <c r="H7" s="243"/>
      <c r="I7" s="243"/>
      <c r="J7" s="243"/>
      <c r="K7" s="243"/>
      <c r="L7" s="154">
        <f>L70</f>
        <v>0</v>
      </c>
      <c r="M7" s="154">
        <f>M70</f>
        <v>0</v>
      </c>
      <c r="N7" s="152"/>
    </row>
    <row r="8" spans="1:14" ht="18.5" x14ac:dyDescent="0.35">
      <c r="A8" s="457" t="s">
        <v>45</v>
      </c>
      <c r="B8" s="458"/>
      <c r="C8" s="458"/>
      <c r="D8" s="458"/>
      <c r="E8" s="458"/>
      <c r="F8" s="458"/>
      <c r="G8" s="458"/>
      <c r="H8" s="243"/>
      <c r="I8" s="243"/>
      <c r="J8" s="243"/>
      <c r="K8" s="243"/>
      <c r="L8" s="154">
        <f>L77</f>
        <v>0</v>
      </c>
      <c r="M8" s="154">
        <f>M77</f>
        <v>0</v>
      </c>
      <c r="N8" s="152"/>
    </row>
    <row r="9" spans="1:14" ht="18.5" x14ac:dyDescent="0.35">
      <c r="A9" s="457" t="s">
        <v>56</v>
      </c>
      <c r="B9" s="458"/>
      <c r="C9" s="458"/>
      <c r="D9" s="458"/>
      <c r="E9" s="458"/>
      <c r="F9" s="458"/>
      <c r="G9" s="458"/>
      <c r="H9" s="243"/>
      <c r="I9" s="243"/>
      <c r="J9" s="243"/>
      <c r="K9" s="243"/>
      <c r="L9" s="154">
        <f>L89</f>
        <v>0</v>
      </c>
      <c r="M9" s="154">
        <f>M89</f>
        <v>0</v>
      </c>
      <c r="N9" s="152"/>
    </row>
    <row r="10" spans="1:14" ht="19" thickBot="1" x14ac:dyDescent="0.4">
      <c r="A10" s="457" t="s">
        <v>57</v>
      </c>
      <c r="B10" s="458"/>
      <c r="C10" s="458"/>
      <c r="D10" s="458"/>
      <c r="E10" s="458"/>
      <c r="F10" s="458"/>
      <c r="G10" s="458"/>
      <c r="H10" s="243"/>
      <c r="I10" s="243"/>
      <c r="J10" s="243"/>
      <c r="K10" s="243"/>
      <c r="L10" s="154">
        <f>L96</f>
        <v>0</v>
      </c>
      <c r="M10" s="154">
        <f>M96</f>
        <v>0</v>
      </c>
      <c r="N10" s="152"/>
    </row>
    <row r="11" spans="1:14" ht="26.5" thickBot="1" x14ac:dyDescent="0.4">
      <c r="A11" s="465" t="s">
        <v>471</v>
      </c>
      <c r="B11" s="458"/>
      <c r="C11" s="458"/>
      <c r="D11" s="458"/>
      <c r="E11" s="458"/>
      <c r="F11" s="458"/>
      <c r="G11" s="458"/>
      <c r="H11" s="458"/>
      <c r="I11" s="458"/>
      <c r="J11" s="458"/>
      <c r="K11" s="466"/>
      <c r="L11" s="155">
        <f>SUM(L5:L10)</f>
        <v>0</v>
      </c>
      <c r="M11" s="155">
        <f>SUM(M5:M10)</f>
        <v>0</v>
      </c>
      <c r="N11" s="152"/>
    </row>
    <row r="12" spans="1:14" ht="26" x14ac:dyDescent="0.35">
      <c r="A12" s="246"/>
      <c r="B12" s="247"/>
      <c r="C12" s="248"/>
      <c r="D12" s="248"/>
      <c r="E12" s="248"/>
      <c r="F12" s="248"/>
      <c r="G12" s="248"/>
      <c r="H12" s="248"/>
      <c r="I12" s="248"/>
      <c r="J12" s="248"/>
      <c r="K12" s="248"/>
    </row>
    <row r="13" spans="1:14" ht="19" thickBot="1" x14ac:dyDescent="0.4">
      <c r="C13" s="19"/>
      <c r="D13" s="19"/>
    </row>
    <row r="14" spans="1:14" s="1" customFormat="1" ht="30.75" customHeight="1" thickBot="1" x14ac:dyDescent="0.4">
      <c r="A14" s="27" t="s">
        <v>25</v>
      </c>
      <c r="B14" s="27" t="s">
        <v>26</v>
      </c>
      <c r="C14" s="464" t="s">
        <v>27</v>
      </c>
      <c r="D14" s="460"/>
      <c r="E14" s="5"/>
      <c r="F14" s="459" t="s">
        <v>11</v>
      </c>
      <c r="G14" s="460"/>
      <c r="H14" s="4" t="s">
        <v>48</v>
      </c>
      <c r="I14" s="4" t="s">
        <v>0</v>
      </c>
      <c r="J14" s="4" t="s">
        <v>1</v>
      </c>
      <c r="K14" s="4" t="s">
        <v>2</v>
      </c>
      <c r="L14" s="4" t="s">
        <v>7</v>
      </c>
      <c r="M14" s="4" t="s">
        <v>8</v>
      </c>
      <c r="N14" s="4" t="s">
        <v>3</v>
      </c>
    </row>
    <row r="15" spans="1:14" s="204" customFormat="1" ht="15" customHeight="1" thickBot="1" x14ac:dyDescent="0.4">
      <c r="A15" s="285"/>
      <c r="B15" s="286"/>
      <c r="C15" s="287"/>
      <c r="D15" s="287"/>
      <c r="E15" s="271"/>
      <c r="F15" s="288"/>
      <c r="G15" s="288"/>
      <c r="H15" s="288"/>
      <c r="I15" s="288"/>
      <c r="J15" s="288"/>
      <c r="K15" s="288"/>
      <c r="L15" s="288"/>
      <c r="M15" s="288"/>
      <c r="N15" s="288"/>
    </row>
    <row r="16" spans="1:14" ht="18.5" x14ac:dyDescent="0.35">
      <c r="A16" s="476" t="s">
        <v>41</v>
      </c>
      <c r="B16" s="55"/>
      <c r="C16" s="45"/>
      <c r="D16" s="45"/>
      <c r="E16" s="46"/>
      <c r="F16" s="47"/>
      <c r="G16" s="47"/>
      <c r="H16" s="44"/>
      <c r="I16" s="48"/>
      <c r="J16" s="92"/>
      <c r="K16" s="49"/>
      <c r="L16" s="49"/>
      <c r="M16" s="49"/>
      <c r="N16" s="146"/>
    </row>
    <row r="17" spans="1:14" ht="43.5" x14ac:dyDescent="0.35">
      <c r="A17" s="462"/>
      <c r="B17" s="57">
        <v>265</v>
      </c>
      <c r="C17" s="35" t="s">
        <v>9</v>
      </c>
      <c r="D17" s="35" t="s">
        <v>146</v>
      </c>
      <c r="E17" s="36"/>
      <c r="F17" s="37" t="s">
        <v>145</v>
      </c>
      <c r="G17" s="10"/>
      <c r="H17" s="103" t="s">
        <v>547</v>
      </c>
      <c r="I17" s="68" t="s">
        <v>6</v>
      </c>
      <c r="J17" s="95">
        <v>1</v>
      </c>
      <c r="K17" s="312">
        <v>0</v>
      </c>
      <c r="L17" s="141"/>
      <c r="M17" s="69">
        <f>K17*J17</f>
        <v>0</v>
      </c>
      <c r="N17" s="223" t="s">
        <v>723</v>
      </c>
    </row>
    <row r="18" spans="1:14" ht="18.5" x14ac:dyDescent="0.35">
      <c r="A18" s="462"/>
      <c r="B18" s="249"/>
      <c r="C18" s="259"/>
      <c r="D18" s="259"/>
      <c r="E18" s="251"/>
      <c r="F18" s="265"/>
      <c r="G18" s="217"/>
      <c r="H18" s="103"/>
      <c r="I18" s="68"/>
      <c r="J18" s="95"/>
      <c r="K18" s="69"/>
      <c r="L18" s="69"/>
      <c r="M18" s="69"/>
      <c r="N18" s="148"/>
    </row>
    <row r="19" spans="1:14" ht="18.5" x14ac:dyDescent="0.35">
      <c r="A19" s="462"/>
      <c r="B19" s="57">
        <v>266</v>
      </c>
      <c r="C19" s="35" t="s">
        <v>9</v>
      </c>
      <c r="D19" s="35" t="s">
        <v>147</v>
      </c>
      <c r="E19" s="40"/>
      <c r="F19" s="39" t="s">
        <v>144</v>
      </c>
      <c r="G19" s="13"/>
      <c r="H19" s="103" t="s">
        <v>531</v>
      </c>
      <c r="I19" s="68" t="s">
        <v>4</v>
      </c>
      <c r="J19" s="95">
        <f>0.95*1.08</f>
        <v>1.026</v>
      </c>
      <c r="K19" s="312">
        <v>0</v>
      </c>
      <c r="L19" s="69">
        <f>K19*J19</f>
        <v>0</v>
      </c>
      <c r="M19" s="312">
        <v>0</v>
      </c>
      <c r="N19" s="148"/>
    </row>
    <row r="20" spans="1:14" ht="19" thickBot="1" x14ac:dyDescent="0.4">
      <c r="A20" s="462"/>
      <c r="B20" s="56"/>
      <c r="C20" s="20"/>
      <c r="D20" s="20"/>
      <c r="E20" s="8"/>
      <c r="F20" s="26"/>
      <c r="G20" s="13"/>
      <c r="H20" s="103"/>
      <c r="I20" s="68"/>
      <c r="J20" s="95"/>
      <c r="K20" s="69"/>
      <c r="L20" s="69"/>
      <c r="M20" s="69"/>
      <c r="N20" s="148"/>
    </row>
    <row r="21" spans="1:14" ht="19" thickBot="1" x14ac:dyDescent="0.4">
      <c r="A21" s="462"/>
      <c r="B21" s="453" t="s">
        <v>13</v>
      </c>
      <c r="C21" s="454"/>
      <c r="D21" s="454"/>
      <c r="E21" s="454"/>
      <c r="F21" s="454"/>
      <c r="G21" s="140"/>
      <c r="H21" s="140" t="s">
        <v>459</v>
      </c>
      <c r="I21" s="50"/>
      <c r="J21" s="94"/>
      <c r="K21" s="51"/>
      <c r="L21" s="52">
        <f>SUM(L17:L19)</f>
        <v>0</v>
      </c>
      <c r="M21" s="53">
        <f>SUM(M17:M19)</f>
        <v>0</v>
      </c>
      <c r="N21" s="148"/>
    </row>
    <row r="22" spans="1:14" ht="19" thickBot="1" x14ac:dyDescent="0.4">
      <c r="A22" s="463"/>
      <c r="B22" s="58"/>
      <c r="C22" s="21"/>
      <c r="D22" s="21"/>
      <c r="E22" s="14"/>
      <c r="F22" s="15"/>
      <c r="G22" s="15"/>
      <c r="H22" s="16"/>
      <c r="I22" s="17"/>
      <c r="J22" s="96"/>
      <c r="K22" s="277"/>
      <c r="L22" s="278"/>
      <c r="M22" s="276"/>
      <c r="N22" s="148"/>
    </row>
    <row r="23" spans="1:14" ht="15" customHeight="1" x14ac:dyDescent="0.35">
      <c r="A23" s="469" t="s">
        <v>40</v>
      </c>
      <c r="B23" s="56"/>
      <c r="C23" s="8"/>
      <c r="D23" s="8"/>
      <c r="E23" s="8"/>
      <c r="F23" s="28"/>
      <c r="G23" s="28"/>
      <c r="H23" s="29"/>
      <c r="I23" s="29"/>
      <c r="J23" s="97"/>
      <c r="K23" s="29"/>
      <c r="L23" s="29"/>
      <c r="M23" s="29"/>
      <c r="N23" s="146"/>
    </row>
    <row r="24" spans="1:14" ht="18.5" x14ac:dyDescent="0.35">
      <c r="A24" s="470"/>
      <c r="B24" s="57">
        <v>267</v>
      </c>
      <c r="C24" s="35" t="s">
        <v>14</v>
      </c>
      <c r="D24" s="35" t="s">
        <v>146</v>
      </c>
      <c r="E24" s="40"/>
      <c r="F24" s="160" t="s">
        <v>148</v>
      </c>
      <c r="G24" s="161" t="s">
        <v>16</v>
      </c>
      <c r="H24" s="103" t="s">
        <v>491</v>
      </c>
      <c r="I24" s="68" t="s">
        <v>4</v>
      </c>
      <c r="J24" s="95">
        <f>2*1.05*0.65</f>
        <v>1.3650000000000002</v>
      </c>
      <c r="K24" s="312">
        <v>0</v>
      </c>
      <c r="L24" s="69">
        <f>K24*J24</f>
        <v>0</v>
      </c>
      <c r="M24" s="312">
        <v>0</v>
      </c>
      <c r="N24" s="148"/>
    </row>
    <row r="25" spans="1:14" ht="18.5" x14ac:dyDescent="0.35">
      <c r="A25" s="470"/>
      <c r="B25" s="56"/>
      <c r="C25" s="20"/>
      <c r="D25" s="20"/>
      <c r="E25" s="8"/>
      <c r="F25" s="13"/>
      <c r="G25" s="161"/>
      <c r="H25" s="103"/>
      <c r="I25" s="68"/>
      <c r="J25" s="95"/>
      <c r="K25" s="69"/>
      <c r="L25" s="69"/>
      <c r="M25" s="69"/>
      <c r="N25" s="148"/>
    </row>
    <row r="26" spans="1:14" x14ac:dyDescent="0.35">
      <c r="A26" s="470"/>
      <c r="B26" s="56"/>
      <c r="C26" s="8"/>
      <c r="D26" s="8"/>
      <c r="E26" s="8"/>
      <c r="F26" s="13"/>
      <c r="G26" s="161" t="s">
        <v>17</v>
      </c>
      <c r="H26" s="103" t="s">
        <v>457</v>
      </c>
      <c r="I26" s="68" t="s">
        <v>5</v>
      </c>
      <c r="J26" s="95">
        <f>2*(1.05+0.65)*2+0.65*3</f>
        <v>8.75</v>
      </c>
      <c r="K26" s="312">
        <v>0</v>
      </c>
      <c r="L26" s="69">
        <f>K26*J26</f>
        <v>0</v>
      </c>
      <c r="M26" s="312">
        <v>0</v>
      </c>
      <c r="N26" s="148"/>
    </row>
    <row r="27" spans="1:14" x14ac:dyDescent="0.35">
      <c r="A27" s="470"/>
      <c r="B27" s="56"/>
      <c r="C27" s="8"/>
      <c r="D27" s="8"/>
      <c r="E27" s="8"/>
      <c r="F27" s="13"/>
      <c r="G27" s="161"/>
      <c r="H27" s="103" t="s">
        <v>534</v>
      </c>
      <c r="I27" s="68" t="s">
        <v>5</v>
      </c>
      <c r="J27" s="95">
        <f>5*0.6+0.65+0.65</f>
        <v>4.3</v>
      </c>
      <c r="K27" s="312">
        <v>0</v>
      </c>
      <c r="L27" s="69">
        <f>K27*J27</f>
        <v>0</v>
      </c>
      <c r="M27" s="312">
        <v>0</v>
      </c>
      <c r="N27" s="148"/>
    </row>
    <row r="28" spans="1:14" x14ac:dyDescent="0.35">
      <c r="A28" s="470"/>
      <c r="B28" s="56"/>
      <c r="C28" s="8"/>
      <c r="D28" s="8"/>
      <c r="E28" s="8"/>
      <c r="F28" s="13"/>
      <c r="G28" s="161"/>
      <c r="H28" s="213" t="s">
        <v>703</v>
      </c>
      <c r="I28" s="68" t="s">
        <v>4</v>
      </c>
      <c r="J28" s="95">
        <f>0.6*0.65*2*2+0.04*0.6*4</f>
        <v>1.6560000000000001</v>
      </c>
      <c r="K28" s="312">
        <v>0</v>
      </c>
      <c r="L28" s="69">
        <f>K28*J28</f>
        <v>0</v>
      </c>
      <c r="M28" s="312">
        <v>0</v>
      </c>
      <c r="N28" s="148" t="s">
        <v>439</v>
      </c>
    </row>
    <row r="29" spans="1:14" x14ac:dyDescent="0.35">
      <c r="A29" s="470"/>
      <c r="B29" s="56"/>
      <c r="C29" s="8"/>
      <c r="D29" s="8"/>
      <c r="E29" s="8"/>
      <c r="F29" s="13"/>
      <c r="G29" s="161"/>
      <c r="H29" s="103" t="s">
        <v>578</v>
      </c>
      <c r="I29" s="68" t="s">
        <v>4</v>
      </c>
      <c r="J29" s="95">
        <f>(0.6*(2*1.05+2*0.65))*2</f>
        <v>4.08</v>
      </c>
      <c r="K29" s="312">
        <v>0</v>
      </c>
      <c r="L29" s="69">
        <f>K29*J29</f>
        <v>0</v>
      </c>
      <c r="M29" s="312">
        <v>0</v>
      </c>
      <c r="N29" s="148"/>
    </row>
    <row r="30" spans="1:14" x14ac:dyDescent="0.35">
      <c r="A30" s="470"/>
      <c r="B30" s="56"/>
      <c r="C30" s="8"/>
      <c r="D30" s="8"/>
      <c r="E30" s="8"/>
      <c r="F30" s="13"/>
      <c r="G30" s="161"/>
      <c r="H30" s="213" t="s">
        <v>704</v>
      </c>
      <c r="I30" s="68" t="s">
        <v>4</v>
      </c>
      <c r="J30" s="95">
        <f>2*0.65*1.05</f>
        <v>1.3650000000000002</v>
      </c>
      <c r="K30" s="312">
        <v>0</v>
      </c>
      <c r="L30" s="69">
        <f>K30*J30</f>
        <v>0</v>
      </c>
      <c r="M30" s="312">
        <v>0</v>
      </c>
      <c r="N30" s="148" t="s">
        <v>439</v>
      </c>
    </row>
    <row r="31" spans="1:14" x14ac:dyDescent="0.35">
      <c r="A31" s="462"/>
      <c r="B31" s="56"/>
      <c r="C31" s="8"/>
      <c r="D31" s="8"/>
      <c r="E31" s="8"/>
      <c r="F31" s="13"/>
      <c r="G31" s="161"/>
      <c r="H31" s="103"/>
      <c r="I31" s="68"/>
      <c r="J31" s="95"/>
      <c r="K31" s="69"/>
      <c r="L31" s="69"/>
      <c r="M31" s="69"/>
      <c r="N31" s="148"/>
    </row>
    <row r="32" spans="1:14" x14ac:dyDescent="0.35">
      <c r="A32" s="462"/>
      <c r="B32" s="56"/>
      <c r="C32" s="8"/>
      <c r="D32" s="8"/>
      <c r="E32" s="8"/>
      <c r="F32" s="13"/>
      <c r="G32" s="161" t="s">
        <v>18</v>
      </c>
      <c r="H32" s="103" t="s">
        <v>149</v>
      </c>
      <c r="I32" s="68" t="s">
        <v>4</v>
      </c>
      <c r="J32" s="95">
        <f>J30+J29</f>
        <v>5.4450000000000003</v>
      </c>
      <c r="K32" s="312">
        <v>0</v>
      </c>
      <c r="L32" s="69">
        <f>K32*J32</f>
        <v>0</v>
      </c>
      <c r="M32" s="312">
        <v>0</v>
      </c>
      <c r="N32" s="148" t="s">
        <v>519</v>
      </c>
    </row>
    <row r="33" spans="1:14" x14ac:dyDescent="0.35">
      <c r="A33" s="462"/>
      <c r="B33" s="56"/>
      <c r="C33" s="8"/>
      <c r="D33" s="8"/>
      <c r="E33" s="8"/>
      <c r="F33" s="13"/>
      <c r="G33" s="161"/>
      <c r="H33" s="103"/>
      <c r="I33" s="68"/>
      <c r="J33" s="95"/>
      <c r="K33" s="69"/>
      <c r="L33" s="69"/>
      <c r="M33" s="69"/>
      <c r="N33" s="148"/>
    </row>
    <row r="34" spans="1:14" ht="29" x14ac:dyDescent="0.35">
      <c r="A34" s="462"/>
      <c r="B34" s="56"/>
      <c r="C34" s="8"/>
      <c r="D34" s="8"/>
      <c r="E34" s="8"/>
      <c r="F34" s="13"/>
      <c r="G34" s="161" t="s">
        <v>19</v>
      </c>
      <c r="H34" s="221" t="s">
        <v>773</v>
      </c>
      <c r="I34" s="68" t="s">
        <v>4</v>
      </c>
      <c r="J34" s="95">
        <f>1.07*(2*1.05*1.07+2*1.07*0.65)</f>
        <v>3.8926600000000011</v>
      </c>
      <c r="K34" s="312">
        <v>0</v>
      </c>
      <c r="L34" s="69">
        <f>K34*J34</f>
        <v>0</v>
      </c>
      <c r="M34" s="312">
        <v>0</v>
      </c>
      <c r="N34" s="148"/>
    </row>
    <row r="35" spans="1:14" x14ac:dyDescent="0.35">
      <c r="A35" s="462"/>
      <c r="B35" s="56"/>
      <c r="C35" s="8"/>
      <c r="D35" s="8"/>
      <c r="E35" s="8"/>
      <c r="F35" s="13"/>
      <c r="G35" s="161"/>
      <c r="H35" s="103"/>
      <c r="I35" s="68"/>
      <c r="J35" s="95"/>
      <c r="K35" s="69"/>
      <c r="L35" s="69"/>
      <c r="M35" s="69"/>
      <c r="N35" s="148"/>
    </row>
    <row r="36" spans="1:14" x14ac:dyDescent="0.35">
      <c r="A36" s="462"/>
      <c r="B36" s="56"/>
      <c r="C36" s="8"/>
      <c r="D36" s="8"/>
      <c r="E36" s="8"/>
      <c r="F36" s="13"/>
      <c r="G36" s="13" t="s">
        <v>28</v>
      </c>
      <c r="H36" s="103" t="s">
        <v>658</v>
      </c>
      <c r="I36" s="68" t="s">
        <v>6</v>
      </c>
      <c r="J36" s="95">
        <v>4</v>
      </c>
      <c r="K36" s="312">
        <v>0</v>
      </c>
      <c r="L36" s="69">
        <f>K36*J36</f>
        <v>0</v>
      </c>
      <c r="M36" s="312">
        <v>0</v>
      </c>
      <c r="N36" s="148"/>
    </row>
    <row r="37" spans="1:14" s="79" customFormat="1" x14ac:dyDescent="0.35">
      <c r="A37" s="462"/>
      <c r="B37" s="56"/>
      <c r="C37" s="8"/>
      <c r="D37" s="8"/>
      <c r="E37" s="8"/>
      <c r="F37" s="13"/>
      <c r="G37" s="13"/>
      <c r="H37" s="103" t="s">
        <v>372</v>
      </c>
      <c r="I37" s="68" t="s">
        <v>5</v>
      </c>
      <c r="J37" s="95">
        <f>2*0.9</f>
        <v>1.8</v>
      </c>
      <c r="K37" s="312">
        <v>0</v>
      </c>
      <c r="L37" s="69">
        <f>K37*J37</f>
        <v>0</v>
      </c>
      <c r="M37" s="312">
        <v>0</v>
      </c>
      <c r="N37" s="148"/>
    </row>
    <row r="38" spans="1:14" x14ac:dyDescent="0.35">
      <c r="A38" s="462"/>
      <c r="B38" s="56"/>
      <c r="C38" s="8"/>
      <c r="D38" s="8"/>
      <c r="E38" s="8"/>
      <c r="F38" s="13"/>
      <c r="G38" s="13"/>
      <c r="H38" s="103" t="s">
        <v>659</v>
      </c>
      <c r="I38" s="68" t="s">
        <v>6</v>
      </c>
      <c r="J38" s="95">
        <v>1</v>
      </c>
      <c r="K38" s="312">
        <v>0</v>
      </c>
      <c r="L38" s="69">
        <f>K38*J38</f>
        <v>0</v>
      </c>
      <c r="M38" s="312">
        <v>0</v>
      </c>
      <c r="N38" s="148"/>
    </row>
    <row r="39" spans="1:14" x14ac:dyDescent="0.35">
      <c r="A39" s="462"/>
      <c r="B39" s="56"/>
      <c r="C39" s="8"/>
      <c r="D39" s="8"/>
      <c r="E39" s="8"/>
      <c r="F39" s="13"/>
      <c r="G39" s="13"/>
      <c r="H39" s="103" t="s">
        <v>29</v>
      </c>
      <c r="I39" s="68" t="s">
        <v>6</v>
      </c>
      <c r="J39" s="95">
        <v>2</v>
      </c>
      <c r="K39" s="312">
        <v>0</v>
      </c>
      <c r="L39" s="69">
        <f>K39*J39</f>
        <v>0</v>
      </c>
      <c r="M39" s="312">
        <v>0</v>
      </c>
      <c r="N39" s="148"/>
    </row>
    <row r="40" spans="1:14" x14ac:dyDescent="0.35">
      <c r="A40" s="462"/>
      <c r="B40" s="56"/>
      <c r="C40" s="8"/>
      <c r="D40" s="8"/>
      <c r="E40" s="8"/>
      <c r="F40" s="13"/>
      <c r="G40" s="13"/>
      <c r="H40" s="103" t="s">
        <v>30</v>
      </c>
      <c r="I40" s="68" t="s">
        <v>6</v>
      </c>
      <c r="J40" s="95">
        <v>2</v>
      </c>
      <c r="K40" s="312">
        <v>0</v>
      </c>
      <c r="L40" s="69">
        <f>K40*J40</f>
        <v>0</v>
      </c>
      <c r="M40" s="312">
        <v>0</v>
      </c>
      <c r="N40" s="148"/>
    </row>
    <row r="41" spans="1:14" x14ac:dyDescent="0.35">
      <c r="A41" s="462"/>
      <c r="B41" s="56"/>
      <c r="C41" s="8"/>
      <c r="D41" s="8"/>
      <c r="E41" s="8"/>
      <c r="F41" s="13"/>
      <c r="G41" s="13"/>
      <c r="H41" s="103"/>
      <c r="I41" s="68"/>
      <c r="J41" s="95"/>
      <c r="K41" s="69"/>
      <c r="L41" s="69"/>
      <c r="M41" s="69"/>
      <c r="N41" s="148"/>
    </row>
    <row r="42" spans="1:14" ht="15.5" x14ac:dyDescent="0.35">
      <c r="A42" s="462"/>
      <c r="B42" s="76"/>
      <c r="C42" s="77"/>
      <c r="D42" s="77"/>
      <c r="E42" s="77"/>
      <c r="F42" s="30"/>
      <c r="G42" s="31"/>
      <c r="H42" s="32" t="s">
        <v>459</v>
      </c>
      <c r="I42" s="33"/>
      <c r="J42" s="98"/>
      <c r="K42" s="34"/>
      <c r="L42" s="137">
        <f>SUM(L24:L40)</f>
        <v>0</v>
      </c>
      <c r="M42" s="137">
        <f>SUM(M24:M40)</f>
        <v>0</v>
      </c>
      <c r="N42" s="148"/>
    </row>
    <row r="43" spans="1:14" x14ac:dyDescent="0.35">
      <c r="A43" s="462"/>
      <c r="B43" s="56"/>
      <c r="C43" s="8"/>
      <c r="D43" s="8"/>
      <c r="E43" s="8"/>
      <c r="F43" s="28"/>
      <c r="G43" s="28"/>
      <c r="H43" s="29"/>
      <c r="I43" s="29"/>
      <c r="J43" s="97"/>
      <c r="K43" s="29"/>
      <c r="L43" s="29"/>
      <c r="M43" s="29"/>
      <c r="N43" s="148"/>
    </row>
    <row r="44" spans="1:14" ht="18.5" x14ac:dyDescent="0.35">
      <c r="A44" s="462"/>
      <c r="B44" s="57">
        <v>268</v>
      </c>
      <c r="C44" s="35" t="s">
        <v>14</v>
      </c>
      <c r="D44" s="35" t="s">
        <v>147</v>
      </c>
      <c r="E44" s="40"/>
      <c r="F44" s="160" t="s">
        <v>437</v>
      </c>
      <c r="G44" s="161" t="s">
        <v>16</v>
      </c>
      <c r="H44" s="103" t="s">
        <v>502</v>
      </c>
      <c r="I44" s="68" t="s">
        <v>4</v>
      </c>
      <c r="J44" s="95">
        <f>2.39*3.72</f>
        <v>8.8908000000000005</v>
      </c>
      <c r="K44" s="312">
        <v>0</v>
      </c>
      <c r="L44" s="69">
        <f>K44*J44</f>
        <v>0</v>
      </c>
      <c r="M44" s="312">
        <v>0</v>
      </c>
      <c r="N44" s="148"/>
    </row>
    <row r="45" spans="1:14" ht="18.5" x14ac:dyDescent="0.35">
      <c r="A45" s="462"/>
      <c r="B45" s="249"/>
      <c r="C45" s="259"/>
      <c r="D45" s="259"/>
      <c r="E45" s="251"/>
      <c r="F45" s="241"/>
      <c r="G45" s="216"/>
      <c r="H45" s="103" t="s">
        <v>152</v>
      </c>
      <c r="I45" s="68" t="s">
        <v>4</v>
      </c>
      <c r="J45" s="95">
        <f>2.39*3.72</f>
        <v>8.8908000000000005</v>
      </c>
      <c r="K45" s="312">
        <v>0</v>
      </c>
      <c r="L45" s="69">
        <f>K45*J45</f>
        <v>0</v>
      </c>
      <c r="M45" s="312">
        <v>0</v>
      </c>
      <c r="N45" s="148"/>
    </row>
    <row r="46" spans="1:14" ht="18.5" x14ac:dyDescent="0.35">
      <c r="A46" s="462"/>
      <c r="B46" s="249"/>
      <c r="C46" s="259"/>
      <c r="D46" s="259"/>
      <c r="E46" s="251"/>
      <c r="F46" s="241"/>
      <c r="G46" s="216"/>
      <c r="H46" s="103"/>
      <c r="I46" s="68"/>
      <c r="J46" s="95"/>
      <c r="K46" s="69"/>
      <c r="L46" s="69"/>
      <c r="M46" s="69"/>
      <c r="N46" s="148"/>
    </row>
    <row r="47" spans="1:14" x14ac:dyDescent="0.35">
      <c r="A47" s="462"/>
      <c r="B47" s="249"/>
      <c r="C47" s="251"/>
      <c r="D47" s="251"/>
      <c r="E47" s="251"/>
      <c r="F47" s="217"/>
      <c r="G47" s="216" t="s">
        <v>17</v>
      </c>
      <c r="H47" s="103" t="s">
        <v>457</v>
      </c>
      <c r="I47" s="68" t="s">
        <v>5</v>
      </c>
      <c r="J47" s="95">
        <f>2*3.72+2*2.39+2*2.035+3*0.92</f>
        <v>19.05</v>
      </c>
      <c r="K47" s="312">
        <v>0</v>
      </c>
      <c r="L47" s="69">
        <f>K47*J47</f>
        <v>0</v>
      </c>
      <c r="M47" s="312">
        <v>0</v>
      </c>
      <c r="N47" s="148"/>
    </row>
    <row r="48" spans="1:14" x14ac:dyDescent="0.35">
      <c r="A48" s="462"/>
      <c r="B48" s="249"/>
      <c r="C48" s="251"/>
      <c r="D48" s="251"/>
      <c r="E48" s="251"/>
      <c r="F48" s="217"/>
      <c r="G48" s="216"/>
      <c r="H48" s="103" t="s">
        <v>660</v>
      </c>
      <c r="I48" s="68" t="s">
        <v>5</v>
      </c>
      <c r="J48" s="95">
        <f>(11*2.11)+(3*3.72+4*2.39)+(2*3.72+4*2.39)</f>
        <v>60.929999999999993</v>
      </c>
      <c r="K48" s="312">
        <v>0</v>
      </c>
      <c r="L48" s="69">
        <f>K48*J48</f>
        <v>0</v>
      </c>
      <c r="M48" s="312">
        <v>0</v>
      </c>
      <c r="N48" s="148"/>
    </row>
    <row r="49" spans="1:14" x14ac:dyDescent="0.35">
      <c r="A49" s="462"/>
      <c r="B49" s="56"/>
      <c r="C49" s="8"/>
      <c r="D49" s="8"/>
      <c r="E49" s="8"/>
      <c r="F49" s="13"/>
      <c r="G49" s="161"/>
      <c r="H49" s="103" t="s">
        <v>661</v>
      </c>
      <c r="I49" s="68" t="s">
        <v>5</v>
      </c>
      <c r="J49" s="95">
        <f>2*(2.39+3.72)+4*2.07</f>
        <v>20.5</v>
      </c>
      <c r="K49" s="312">
        <v>0</v>
      </c>
      <c r="L49" s="69">
        <f>K49*J49</f>
        <v>0</v>
      </c>
      <c r="M49" s="312">
        <v>0</v>
      </c>
      <c r="N49" s="148"/>
    </row>
    <row r="50" spans="1:14" x14ac:dyDescent="0.35">
      <c r="A50" s="462"/>
      <c r="B50" s="56"/>
      <c r="C50" s="8"/>
      <c r="D50" s="8"/>
      <c r="E50" s="8"/>
      <c r="F50" s="13"/>
      <c r="G50" s="161"/>
      <c r="H50" s="103" t="s">
        <v>662</v>
      </c>
      <c r="I50" s="68" t="s">
        <v>4</v>
      </c>
      <c r="J50" s="95">
        <f>0.12*(2*1.105+2*2.07)</f>
        <v>0.7619999999999999</v>
      </c>
      <c r="K50" s="312">
        <v>0</v>
      </c>
      <c r="L50" s="69">
        <f>K50*J50</f>
        <v>0</v>
      </c>
      <c r="M50" s="312">
        <v>0</v>
      </c>
      <c r="N50" s="148"/>
    </row>
    <row r="51" spans="1:14" x14ac:dyDescent="0.35">
      <c r="A51" s="462"/>
      <c r="B51" s="56"/>
      <c r="C51" s="8"/>
      <c r="D51" s="8"/>
      <c r="E51" s="8"/>
      <c r="F51" s="13"/>
      <c r="G51" s="161"/>
      <c r="H51" s="103"/>
      <c r="I51" s="68"/>
      <c r="J51" s="95"/>
      <c r="K51" s="69"/>
      <c r="L51" s="69"/>
      <c r="M51" s="69"/>
      <c r="N51" s="148"/>
    </row>
    <row r="52" spans="1:14" x14ac:dyDescent="0.35">
      <c r="A52" s="462"/>
      <c r="B52" s="56"/>
      <c r="C52" s="8"/>
      <c r="D52" s="8"/>
      <c r="E52" s="8"/>
      <c r="F52" s="13"/>
      <c r="G52" s="161" t="s">
        <v>18</v>
      </c>
      <c r="H52" s="103" t="s">
        <v>151</v>
      </c>
      <c r="I52" s="68" t="s">
        <v>4</v>
      </c>
      <c r="J52" s="95">
        <f>J44</f>
        <v>8.8908000000000005</v>
      </c>
      <c r="K52" s="312">
        <v>0</v>
      </c>
      <c r="L52" s="69">
        <f>K52*J52</f>
        <v>0</v>
      </c>
      <c r="M52" s="312">
        <v>0</v>
      </c>
      <c r="N52" s="148"/>
    </row>
    <row r="53" spans="1:14" x14ac:dyDescent="0.35">
      <c r="A53" s="462"/>
      <c r="B53" s="56"/>
      <c r="C53" s="8"/>
      <c r="D53" s="8"/>
      <c r="E53" s="8"/>
      <c r="F53" s="13"/>
      <c r="G53" s="161"/>
      <c r="H53" s="213" t="s">
        <v>776</v>
      </c>
      <c r="I53" s="68" t="s">
        <v>4</v>
      </c>
      <c r="J53" s="95">
        <f>J44</f>
        <v>8.8908000000000005</v>
      </c>
      <c r="K53" s="312">
        <v>0</v>
      </c>
      <c r="L53" s="69">
        <f>K53*J53</f>
        <v>0</v>
      </c>
      <c r="M53" s="312">
        <v>0</v>
      </c>
      <c r="N53" s="148"/>
    </row>
    <row r="54" spans="1:14" x14ac:dyDescent="0.35">
      <c r="A54" s="462"/>
      <c r="B54" s="56"/>
      <c r="C54" s="8"/>
      <c r="D54" s="8"/>
      <c r="E54" s="8"/>
      <c r="F54" s="13"/>
      <c r="G54" s="161"/>
      <c r="H54" s="103"/>
      <c r="I54" s="68"/>
      <c r="J54" s="95"/>
      <c r="K54" s="69"/>
      <c r="L54" s="69"/>
      <c r="M54" s="69"/>
      <c r="N54" s="148"/>
    </row>
    <row r="55" spans="1:14" ht="29" x14ac:dyDescent="0.35">
      <c r="A55" s="462"/>
      <c r="B55" s="56"/>
      <c r="C55" s="8"/>
      <c r="D55" s="8"/>
      <c r="E55" s="8"/>
      <c r="F55" s="13"/>
      <c r="G55" s="161" t="s">
        <v>19</v>
      </c>
      <c r="H55" s="224" t="s">
        <v>777</v>
      </c>
      <c r="I55" s="68" t="s">
        <v>4</v>
      </c>
      <c r="J55" s="95">
        <f>2*2.07*3.72+2*2.07*2.39</f>
        <v>25.295400000000001</v>
      </c>
      <c r="K55" s="312">
        <v>0</v>
      </c>
      <c r="L55" s="69">
        <f>K55*J55</f>
        <v>0</v>
      </c>
      <c r="M55" s="312">
        <v>0</v>
      </c>
      <c r="N55" s="148"/>
    </row>
    <row r="56" spans="1:14" x14ac:dyDescent="0.35">
      <c r="A56" s="462"/>
      <c r="B56" s="56"/>
      <c r="C56" s="8"/>
      <c r="D56" s="8"/>
      <c r="E56" s="8"/>
      <c r="F56" s="13"/>
      <c r="G56" s="161"/>
      <c r="H56" s="103"/>
      <c r="I56" s="68"/>
      <c r="J56" s="95"/>
      <c r="K56" s="69"/>
      <c r="L56" s="69"/>
      <c r="M56" s="69"/>
      <c r="N56" s="148"/>
    </row>
    <row r="57" spans="1:14" x14ac:dyDescent="0.35">
      <c r="A57" s="462"/>
      <c r="B57" s="56"/>
      <c r="C57" s="8"/>
      <c r="D57" s="8"/>
      <c r="E57" s="8"/>
      <c r="F57" s="13"/>
      <c r="G57" s="13" t="s">
        <v>28</v>
      </c>
      <c r="H57" s="103" t="s">
        <v>536</v>
      </c>
      <c r="I57" s="68" t="s">
        <v>6</v>
      </c>
      <c r="J57" s="95">
        <v>8</v>
      </c>
      <c r="K57" s="312">
        <v>0</v>
      </c>
      <c r="L57" s="69">
        <f>K57*J57</f>
        <v>0</v>
      </c>
      <c r="M57" s="312">
        <v>0</v>
      </c>
      <c r="N57" s="148"/>
    </row>
    <row r="58" spans="1:14" x14ac:dyDescent="0.35">
      <c r="A58" s="462"/>
      <c r="B58" s="56"/>
      <c r="C58" s="8"/>
      <c r="D58" s="8"/>
      <c r="E58" s="8"/>
      <c r="F58" s="13"/>
      <c r="G58" s="13"/>
      <c r="H58" s="103" t="s">
        <v>29</v>
      </c>
      <c r="I58" s="68" t="s">
        <v>6</v>
      </c>
      <c r="J58" s="95">
        <v>3</v>
      </c>
      <c r="K58" s="312">
        <v>0</v>
      </c>
      <c r="L58" s="69">
        <f>K58*J58</f>
        <v>0</v>
      </c>
      <c r="M58" s="312">
        <v>0</v>
      </c>
      <c r="N58" s="148"/>
    </row>
    <row r="59" spans="1:14" x14ac:dyDescent="0.35">
      <c r="A59" s="462"/>
      <c r="B59" s="56"/>
      <c r="C59" s="8"/>
      <c r="D59" s="8"/>
      <c r="E59" s="8"/>
      <c r="F59" s="13"/>
      <c r="G59" s="13"/>
      <c r="H59" s="103" t="s">
        <v>153</v>
      </c>
      <c r="I59" s="68" t="s">
        <v>6</v>
      </c>
      <c r="J59" s="95">
        <v>2</v>
      </c>
      <c r="K59" s="312">
        <v>0</v>
      </c>
      <c r="L59" s="69">
        <f>K59*J59</f>
        <v>0</v>
      </c>
      <c r="M59" s="312">
        <v>0</v>
      </c>
      <c r="N59" s="148" t="s">
        <v>440</v>
      </c>
    </row>
    <row r="60" spans="1:14" x14ac:dyDescent="0.35">
      <c r="A60" s="462"/>
      <c r="B60" s="56"/>
      <c r="C60" s="8"/>
      <c r="D60" s="8"/>
      <c r="E60" s="8"/>
      <c r="F60" s="13"/>
      <c r="G60" s="13"/>
      <c r="H60" s="103"/>
      <c r="I60" s="68"/>
      <c r="J60" s="95"/>
      <c r="K60" s="69"/>
      <c r="L60" s="69"/>
      <c r="M60" s="69"/>
      <c r="N60" s="148"/>
    </row>
    <row r="61" spans="1:14" ht="15.5" x14ac:dyDescent="0.35">
      <c r="A61" s="462"/>
      <c r="B61" s="76"/>
      <c r="C61" s="77"/>
      <c r="D61" s="77"/>
      <c r="E61" s="77"/>
      <c r="F61" s="30"/>
      <c r="G61" s="31"/>
      <c r="H61" s="32" t="s">
        <v>459</v>
      </c>
      <c r="I61" s="33"/>
      <c r="J61" s="98"/>
      <c r="K61" s="34"/>
      <c r="L61" s="137">
        <f>SUM(L44:L59)</f>
        <v>0</v>
      </c>
      <c r="M61" s="137">
        <f>SUM(M44:M59)</f>
        <v>0</v>
      </c>
      <c r="N61" s="148"/>
    </row>
    <row r="62" spans="1:14" ht="15" thickBot="1" x14ac:dyDescent="0.4">
      <c r="A62" s="462"/>
      <c r="B62" s="56"/>
      <c r="C62" s="8"/>
      <c r="D62" s="8"/>
      <c r="E62" s="8"/>
      <c r="F62" s="8"/>
      <c r="G62" s="8"/>
      <c r="H62" s="141"/>
      <c r="I62" s="141"/>
      <c r="J62" s="162"/>
      <c r="K62" s="141"/>
      <c r="L62" s="141"/>
      <c r="M62" s="141"/>
      <c r="N62" s="148"/>
    </row>
    <row r="63" spans="1:14" ht="19" thickBot="1" x14ac:dyDescent="0.4">
      <c r="A63" s="462"/>
      <c r="B63" s="453" t="s">
        <v>37</v>
      </c>
      <c r="C63" s="454"/>
      <c r="D63" s="454"/>
      <c r="E63" s="454"/>
      <c r="F63" s="454"/>
      <c r="G63" s="140"/>
      <c r="H63" s="140" t="s">
        <v>459</v>
      </c>
      <c r="I63" s="50"/>
      <c r="J63" s="94"/>
      <c r="K63" s="51"/>
      <c r="L63" s="52">
        <f>L61+L42</f>
        <v>0</v>
      </c>
      <c r="M63" s="53">
        <f>M61+M42</f>
        <v>0</v>
      </c>
      <c r="N63" s="148"/>
    </row>
    <row r="64" spans="1:14" ht="19" thickBot="1" x14ac:dyDescent="0.4">
      <c r="A64" s="463"/>
      <c r="B64" s="58"/>
      <c r="C64" s="21"/>
      <c r="D64" s="21"/>
      <c r="E64" s="14"/>
      <c r="F64" s="15"/>
      <c r="G64" s="15"/>
      <c r="H64" s="16"/>
      <c r="I64" s="17"/>
      <c r="J64" s="96"/>
      <c r="K64" s="277"/>
      <c r="L64" s="278"/>
      <c r="M64" s="276"/>
      <c r="N64" s="148"/>
    </row>
    <row r="65" spans="1:14" ht="18.5" x14ac:dyDescent="0.35">
      <c r="A65" s="469" t="s">
        <v>39</v>
      </c>
      <c r="B65" s="56"/>
      <c r="C65" s="20"/>
      <c r="D65" s="20"/>
      <c r="E65" s="8"/>
      <c r="F65" s="13"/>
      <c r="G65" s="13"/>
      <c r="H65" s="141"/>
      <c r="I65" s="68"/>
      <c r="J65" s="95"/>
      <c r="K65" s="69"/>
      <c r="L65" s="69"/>
      <c r="M65" s="69"/>
      <c r="N65" s="146"/>
    </row>
    <row r="66" spans="1:14" ht="18.75" customHeight="1" x14ac:dyDescent="0.35">
      <c r="A66" s="470"/>
      <c r="B66" s="57"/>
      <c r="C66" s="35" t="s">
        <v>38</v>
      </c>
      <c r="D66" s="35" t="s">
        <v>154</v>
      </c>
      <c r="E66" s="40"/>
      <c r="F66" s="160" t="s">
        <v>713</v>
      </c>
      <c r="G66" s="161"/>
      <c r="H66" s="103"/>
      <c r="I66" s="68"/>
      <c r="J66" s="95"/>
      <c r="K66" s="69"/>
      <c r="L66" s="69"/>
      <c r="M66" s="69"/>
      <c r="N66" s="219"/>
    </row>
    <row r="67" spans="1:14" x14ac:dyDescent="0.35">
      <c r="A67" s="470"/>
      <c r="B67" s="56"/>
      <c r="C67" s="8"/>
      <c r="D67" s="8"/>
      <c r="E67" s="8"/>
      <c r="F67" s="13"/>
      <c r="G67" s="13"/>
      <c r="H67" s="103"/>
      <c r="I67" s="68"/>
      <c r="J67" s="95"/>
      <c r="K67" s="69"/>
      <c r="L67" s="69"/>
      <c r="M67" s="69"/>
      <c r="N67" s="148"/>
    </row>
    <row r="68" spans="1:14" ht="15.5" x14ac:dyDescent="0.35">
      <c r="A68" s="470"/>
      <c r="B68" s="76"/>
      <c r="C68" s="77"/>
      <c r="D68" s="77"/>
      <c r="E68" s="77"/>
      <c r="F68" s="30"/>
      <c r="G68" s="31"/>
      <c r="H68" s="32" t="s">
        <v>459</v>
      </c>
      <c r="I68" s="33"/>
      <c r="J68" s="98"/>
      <c r="K68" s="34"/>
      <c r="L68" s="137">
        <f>SUM(L66:L66)</f>
        <v>0</v>
      </c>
      <c r="M68" s="137">
        <f>SUM(M66:M66)</f>
        <v>0</v>
      </c>
      <c r="N68" s="148"/>
    </row>
    <row r="69" spans="1:14" ht="15" thickBot="1" x14ac:dyDescent="0.4">
      <c r="A69" s="470"/>
      <c r="B69" s="56"/>
      <c r="C69" s="8"/>
      <c r="D69" s="8"/>
      <c r="E69" s="8"/>
      <c r="F69" s="8"/>
      <c r="G69" s="8"/>
      <c r="H69" s="141"/>
      <c r="I69" s="141"/>
      <c r="J69" s="162"/>
      <c r="K69" s="141"/>
      <c r="L69" s="141"/>
      <c r="M69" s="141"/>
      <c r="N69" s="148"/>
    </row>
    <row r="70" spans="1:14" ht="19" thickBot="1" x14ac:dyDescent="0.4">
      <c r="A70" s="470"/>
      <c r="B70" s="453" t="s">
        <v>43</v>
      </c>
      <c r="C70" s="454"/>
      <c r="D70" s="454"/>
      <c r="E70" s="454"/>
      <c r="F70" s="454"/>
      <c r="G70" s="140"/>
      <c r="H70" s="140" t="s">
        <v>459</v>
      </c>
      <c r="I70" s="50"/>
      <c r="J70" s="94"/>
      <c r="K70" s="51"/>
      <c r="L70" s="52">
        <f>L68</f>
        <v>0</v>
      </c>
      <c r="M70" s="53">
        <f>M68</f>
        <v>0</v>
      </c>
      <c r="N70" s="148"/>
    </row>
    <row r="71" spans="1:14" ht="19" thickBot="1" x14ac:dyDescent="0.4">
      <c r="A71" s="471"/>
      <c r="B71" s="58"/>
      <c r="C71" s="21"/>
      <c r="D71" s="21"/>
      <c r="E71" s="14"/>
      <c r="F71" s="15"/>
      <c r="G71" s="15"/>
      <c r="H71" s="16"/>
      <c r="I71" s="17"/>
      <c r="J71" s="96"/>
      <c r="K71" s="277"/>
      <c r="L71" s="278"/>
      <c r="M71" s="276"/>
      <c r="N71" s="148"/>
    </row>
    <row r="72" spans="1:14" ht="18.5" x14ac:dyDescent="0.35">
      <c r="A72" s="469" t="s">
        <v>46</v>
      </c>
      <c r="B72" s="56"/>
      <c r="C72" s="20"/>
      <c r="D72" s="20"/>
      <c r="E72" s="8"/>
      <c r="F72" s="13"/>
      <c r="G72" s="13"/>
      <c r="H72" s="141"/>
      <c r="I72" s="68"/>
      <c r="J72" s="95"/>
      <c r="K72" s="69"/>
      <c r="L72" s="69"/>
      <c r="M72" s="69"/>
      <c r="N72" s="146"/>
    </row>
    <row r="73" spans="1:14" ht="29" x14ac:dyDescent="0.35">
      <c r="A73" s="470"/>
      <c r="B73" s="57">
        <v>269</v>
      </c>
      <c r="C73" s="35" t="s">
        <v>47</v>
      </c>
      <c r="D73" s="35" t="s">
        <v>328</v>
      </c>
      <c r="E73" s="40"/>
      <c r="F73" s="160" t="s">
        <v>327</v>
      </c>
      <c r="G73" s="161" t="s">
        <v>155</v>
      </c>
      <c r="H73" s="88" t="s">
        <v>585</v>
      </c>
      <c r="I73" s="68" t="s">
        <v>6</v>
      </c>
      <c r="J73" s="95">
        <v>4</v>
      </c>
      <c r="K73" s="312">
        <v>0</v>
      </c>
      <c r="L73" s="69">
        <f>K73*J73</f>
        <v>0</v>
      </c>
      <c r="M73" s="312">
        <v>0</v>
      </c>
      <c r="N73" s="148" t="s">
        <v>663</v>
      </c>
    </row>
    <row r="74" spans="1:14" x14ac:dyDescent="0.35">
      <c r="A74" s="470"/>
      <c r="B74" s="56"/>
      <c r="C74" s="8"/>
      <c r="D74" s="8"/>
      <c r="E74" s="8"/>
      <c r="F74" s="13"/>
      <c r="G74" s="13"/>
      <c r="H74" s="103"/>
      <c r="I74" s="68"/>
      <c r="J74" s="95"/>
      <c r="K74" s="69"/>
      <c r="L74" s="69"/>
      <c r="M74" s="69"/>
      <c r="N74" s="148"/>
    </row>
    <row r="75" spans="1:14" ht="15.5" x14ac:dyDescent="0.35">
      <c r="A75" s="470"/>
      <c r="B75" s="76"/>
      <c r="C75" s="77"/>
      <c r="D75" s="77"/>
      <c r="E75" s="77"/>
      <c r="F75" s="30"/>
      <c r="G75" s="31"/>
      <c r="H75" s="32" t="s">
        <v>459</v>
      </c>
      <c r="I75" s="33"/>
      <c r="J75" s="98"/>
      <c r="K75" s="34"/>
      <c r="L75" s="137">
        <f>SUM(L73:L73)</f>
        <v>0</v>
      </c>
      <c r="M75" s="137">
        <f>SUM(M73:M73)</f>
        <v>0</v>
      </c>
      <c r="N75" s="148"/>
    </row>
    <row r="76" spans="1:14" ht="15" thickBot="1" x14ac:dyDescent="0.4">
      <c r="A76" s="470"/>
      <c r="B76" s="56"/>
      <c r="C76" s="8"/>
      <c r="D76" s="8"/>
      <c r="E76" s="8"/>
      <c r="F76" s="8"/>
      <c r="G76" s="8"/>
      <c r="H76" s="141"/>
      <c r="I76" s="141"/>
      <c r="J76" s="162"/>
      <c r="K76" s="141"/>
      <c r="L76" s="141"/>
      <c r="M76" s="141"/>
      <c r="N76" s="148"/>
    </row>
    <row r="77" spans="1:14" ht="19" thickBot="1" x14ac:dyDescent="0.4">
      <c r="A77" s="470"/>
      <c r="B77" s="453" t="s">
        <v>45</v>
      </c>
      <c r="C77" s="454"/>
      <c r="D77" s="454"/>
      <c r="E77" s="454"/>
      <c r="F77" s="454"/>
      <c r="G77" s="140"/>
      <c r="H77" s="140" t="s">
        <v>459</v>
      </c>
      <c r="I77" s="50"/>
      <c r="J77" s="94"/>
      <c r="K77" s="51"/>
      <c r="L77" s="52">
        <f>L75</f>
        <v>0</v>
      </c>
      <c r="M77" s="53">
        <f>M75</f>
        <v>0</v>
      </c>
      <c r="N77" s="148"/>
    </row>
    <row r="78" spans="1:14" ht="19" thickBot="1" x14ac:dyDescent="0.4">
      <c r="A78" s="471"/>
      <c r="B78" s="58"/>
      <c r="C78" s="21"/>
      <c r="D78" s="21"/>
      <c r="E78" s="14"/>
      <c r="F78" s="15"/>
      <c r="G78" s="15"/>
      <c r="H78" s="16"/>
      <c r="I78" s="17"/>
      <c r="J78" s="96"/>
      <c r="K78" s="277"/>
      <c r="L78" s="278"/>
      <c r="M78" s="276"/>
      <c r="N78" s="148"/>
    </row>
    <row r="79" spans="1:14" s="75" customFormat="1" ht="18.5" x14ac:dyDescent="0.35">
      <c r="A79" s="472" t="s">
        <v>59</v>
      </c>
      <c r="B79" s="249"/>
      <c r="C79" s="250"/>
      <c r="D79" s="250"/>
      <c r="E79" s="251"/>
      <c r="F79" s="217"/>
      <c r="G79" s="217"/>
      <c r="H79" s="229"/>
      <c r="I79" s="211"/>
      <c r="J79" s="212"/>
      <c r="K79" s="220"/>
      <c r="L79" s="220"/>
      <c r="M79" s="220"/>
      <c r="N79" s="252"/>
    </row>
    <row r="80" spans="1:14" s="75" customFormat="1" ht="29" x14ac:dyDescent="0.35">
      <c r="A80" s="473"/>
      <c r="B80" s="57">
        <v>270</v>
      </c>
      <c r="C80" s="35" t="s">
        <v>60</v>
      </c>
      <c r="D80" s="35" t="s">
        <v>146</v>
      </c>
      <c r="E80" s="40"/>
      <c r="F80" s="160" t="s">
        <v>298</v>
      </c>
      <c r="G80" s="216" t="s">
        <v>73</v>
      </c>
      <c r="H80" s="213" t="s">
        <v>724</v>
      </c>
      <c r="I80" s="211" t="s">
        <v>6</v>
      </c>
      <c r="J80" s="212">
        <v>1</v>
      </c>
      <c r="K80" s="312">
        <v>0</v>
      </c>
      <c r="L80" s="220">
        <f>K80*J80</f>
        <v>0</v>
      </c>
      <c r="M80" s="312">
        <v>0</v>
      </c>
      <c r="N80" s="219" t="s">
        <v>664</v>
      </c>
    </row>
    <row r="81" spans="1:14" s="75" customFormat="1" ht="18.5" x14ac:dyDescent="0.35">
      <c r="A81" s="473"/>
      <c r="B81" s="249"/>
      <c r="C81" s="259"/>
      <c r="D81" s="259"/>
      <c r="E81" s="251"/>
      <c r="F81" s="241"/>
      <c r="G81" s="216"/>
      <c r="H81" s="228" t="s">
        <v>65</v>
      </c>
      <c r="I81" s="211" t="s">
        <v>6</v>
      </c>
      <c r="J81" s="212">
        <v>1</v>
      </c>
      <c r="K81" s="312">
        <v>0</v>
      </c>
      <c r="L81" s="220">
        <f>K81*J81</f>
        <v>0</v>
      </c>
      <c r="M81" s="312">
        <v>0</v>
      </c>
      <c r="N81" s="219" t="s">
        <v>565</v>
      </c>
    </row>
    <row r="82" spans="1:14" s="75" customFormat="1" ht="18.5" x14ac:dyDescent="0.35">
      <c r="A82" s="473"/>
      <c r="B82" s="249"/>
      <c r="C82" s="250"/>
      <c r="D82" s="250"/>
      <c r="E82" s="251"/>
      <c r="F82" s="217"/>
      <c r="G82" s="217"/>
      <c r="H82" s="228"/>
      <c r="I82" s="211"/>
      <c r="J82" s="212"/>
      <c r="K82" s="220"/>
      <c r="L82" s="220"/>
      <c r="M82" s="220"/>
      <c r="N82" s="219"/>
    </row>
    <row r="83" spans="1:14" s="75" customFormat="1" ht="15.5" x14ac:dyDescent="0.35">
      <c r="A83" s="473"/>
      <c r="B83" s="260"/>
      <c r="C83" s="261"/>
      <c r="D83" s="261"/>
      <c r="E83" s="261"/>
      <c r="F83" s="262"/>
      <c r="G83" s="255"/>
      <c r="H83" s="234" t="s">
        <v>459</v>
      </c>
      <c r="I83" s="256"/>
      <c r="J83" s="257"/>
      <c r="K83" s="258"/>
      <c r="L83" s="137">
        <f>SUM(L80:L81)</f>
        <v>0</v>
      </c>
      <c r="M83" s="137">
        <f>SUM(M80:M81)</f>
        <v>0</v>
      </c>
      <c r="N83" s="219"/>
    </row>
    <row r="84" spans="1:14" s="135" customFormat="1" x14ac:dyDescent="0.35">
      <c r="A84" s="473"/>
      <c r="B84" s="249"/>
      <c r="C84" s="251"/>
      <c r="D84" s="251"/>
      <c r="E84" s="251"/>
      <c r="F84" s="263"/>
      <c r="G84" s="263"/>
      <c r="H84" s="240"/>
      <c r="I84" s="211"/>
      <c r="J84" s="212"/>
      <c r="K84" s="220"/>
      <c r="L84" s="240"/>
      <c r="M84" s="240"/>
      <c r="N84" s="253"/>
    </row>
    <row r="85" spans="1:14" s="135" customFormat="1" ht="18.5" x14ac:dyDescent="0.35">
      <c r="A85" s="473"/>
      <c r="B85" s="57">
        <v>271</v>
      </c>
      <c r="C85" s="35" t="s">
        <v>60</v>
      </c>
      <c r="D85" s="35" t="s">
        <v>147</v>
      </c>
      <c r="E85" s="40"/>
      <c r="F85" s="160" t="s">
        <v>428</v>
      </c>
      <c r="G85" s="216" t="s">
        <v>73</v>
      </c>
      <c r="H85" s="228" t="s">
        <v>429</v>
      </c>
      <c r="I85" s="211" t="s">
        <v>6</v>
      </c>
      <c r="J85" s="212">
        <v>1</v>
      </c>
      <c r="K85" s="312">
        <v>0</v>
      </c>
      <c r="L85" s="220">
        <f>K85*J85</f>
        <v>0</v>
      </c>
      <c r="M85" s="312">
        <v>0</v>
      </c>
      <c r="N85" s="253"/>
    </row>
    <row r="86" spans="1:14" s="135" customFormat="1" x14ac:dyDescent="0.35">
      <c r="A86" s="473"/>
      <c r="B86" s="249"/>
      <c r="C86" s="251"/>
      <c r="D86" s="251"/>
      <c r="E86" s="251"/>
      <c r="F86" s="217"/>
      <c r="G86" s="217"/>
      <c r="H86" s="228"/>
      <c r="I86" s="211"/>
      <c r="J86" s="212"/>
      <c r="K86" s="220"/>
      <c r="L86" s="220"/>
      <c r="M86" s="220"/>
      <c r="N86" s="219"/>
    </row>
    <row r="87" spans="1:14" s="135" customFormat="1" ht="15.5" x14ac:dyDescent="0.35">
      <c r="A87" s="473"/>
      <c r="B87" s="260"/>
      <c r="C87" s="261"/>
      <c r="D87" s="261"/>
      <c r="E87" s="261"/>
      <c r="F87" s="262"/>
      <c r="G87" s="255"/>
      <c r="H87" s="234" t="s">
        <v>459</v>
      </c>
      <c r="I87" s="256"/>
      <c r="J87" s="257"/>
      <c r="K87" s="258"/>
      <c r="L87" s="137">
        <f>SUM(L85)</f>
        <v>0</v>
      </c>
      <c r="M87" s="137">
        <f>SUM(M85)</f>
        <v>0</v>
      </c>
      <c r="N87" s="219"/>
    </row>
    <row r="88" spans="1:14" s="75" customFormat="1" ht="15" thickBot="1" x14ac:dyDescent="0.4">
      <c r="A88" s="473"/>
      <c r="B88" s="59"/>
      <c r="C88" s="61"/>
      <c r="D88" s="61"/>
      <c r="E88" s="61"/>
      <c r="F88" s="61"/>
      <c r="G88" s="61"/>
      <c r="H88" s="166"/>
      <c r="I88" s="166"/>
      <c r="J88" s="167"/>
      <c r="K88" s="166"/>
      <c r="L88" s="166"/>
      <c r="M88" s="166"/>
      <c r="N88" s="219"/>
    </row>
    <row r="89" spans="1:14" s="75" customFormat="1" ht="19" thickBot="1" x14ac:dyDescent="0.4">
      <c r="A89" s="473"/>
      <c r="B89" s="453" t="s">
        <v>56</v>
      </c>
      <c r="C89" s="454"/>
      <c r="D89" s="454"/>
      <c r="E89" s="454"/>
      <c r="F89" s="454"/>
      <c r="G89" s="140"/>
      <c r="H89" s="140" t="s">
        <v>459</v>
      </c>
      <c r="I89" s="50"/>
      <c r="J89" s="94"/>
      <c r="K89" s="51"/>
      <c r="L89" s="52">
        <f>L87+L83</f>
        <v>0</v>
      </c>
      <c r="M89" s="53">
        <f>M83+M87</f>
        <v>0</v>
      </c>
      <c r="N89" s="219"/>
    </row>
    <row r="90" spans="1:14" s="75" customFormat="1" ht="19" thickBot="1" x14ac:dyDescent="0.4">
      <c r="A90" s="474"/>
      <c r="B90" s="81"/>
      <c r="C90" s="82"/>
      <c r="D90" s="82"/>
      <c r="E90" s="83"/>
      <c r="F90" s="84"/>
      <c r="G90" s="84"/>
      <c r="H90" s="85"/>
      <c r="I90" s="24"/>
      <c r="J90" s="101"/>
      <c r="K90" s="277"/>
      <c r="L90" s="278"/>
      <c r="M90" s="276"/>
      <c r="N90" s="254"/>
    </row>
    <row r="91" spans="1:14" ht="18.5" x14ac:dyDescent="0.35">
      <c r="A91" s="469" t="s">
        <v>71</v>
      </c>
      <c r="B91" s="56"/>
      <c r="C91" s="20"/>
      <c r="D91" s="20"/>
      <c r="E91" s="8"/>
      <c r="F91" s="13"/>
      <c r="G91" s="13"/>
      <c r="H91" s="141"/>
      <c r="I91" s="68"/>
      <c r="J91" s="95"/>
      <c r="K91" s="69"/>
      <c r="L91" s="69"/>
      <c r="M91" s="69"/>
      <c r="N91" s="146"/>
    </row>
    <row r="92" spans="1:14" ht="18.75" customHeight="1" x14ac:dyDescent="0.35">
      <c r="A92" s="470"/>
      <c r="B92" s="57"/>
      <c r="C92" s="35" t="s">
        <v>72</v>
      </c>
      <c r="D92" s="35" t="s">
        <v>154</v>
      </c>
      <c r="E92" s="40"/>
      <c r="F92" s="160" t="s">
        <v>714</v>
      </c>
      <c r="G92" s="161"/>
      <c r="H92" s="103"/>
      <c r="I92" s="68"/>
      <c r="J92" s="95"/>
      <c r="K92" s="69"/>
      <c r="L92" s="69"/>
      <c r="M92" s="69"/>
      <c r="N92" s="148"/>
    </row>
    <row r="93" spans="1:14" ht="18.75" customHeight="1" x14ac:dyDescent="0.35">
      <c r="A93" s="470"/>
      <c r="B93" s="249"/>
      <c r="C93" s="259"/>
      <c r="D93" s="259"/>
      <c r="E93" s="251"/>
      <c r="F93" s="241"/>
      <c r="G93" s="216"/>
      <c r="H93" s="103"/>
      <c r="I93" s="68"/>
      <c r="J93" s="95"/>
      <c r="K93" s="69"/>
      <c r="L93" s="69"/>
      <c r="M93" s="69"/>
      <c r="N93" s="148"/>
    </row>
    <row r="94" spans="1:14" ht="15.5" x14ac:dyDescent="0.35">
      <c r="A94" s="470"/>
      <c r="B94" s="260"/>
      <c r="C94" s="261"/>
      <c r="D94" s="261"/>
      <c r="E94" s="261"/>
      <c r="F94" s="262"/>
      <c r="G94" s="255"/>
      <c r="H94" s="32" t="s">
        <v>459</v>
      </c>
      <c r="I94" s="33"/>
      <c r="J94" s="98"/>
      <c r="K94" s="34"/>
      <c r="L94" s="137">
        <f>SUM(L92)</f>
        <v>0</v>
      </c>
      <c r="M94" s="137">
        <f>SUM(M92)</f>
        <v>0</v>
      </c>
      <c r="N94" s="148"/>
    </row>
    <row r="95" spans="1:14" ht="15" thickBot="1" x14ac:dyDescent="0.4">
      <c r="A95" s="470"/>
      <c r="B95" s="56"/>
      <c r="C95" s="8"/>
      <c r="D95" s="8"/>
      <c r="E95" s="8"/>
      <c r="F95" s="8"/>
      <c r="G95" s="8"/>
      <c r="H95" s="141"/>
      <c r="I95" s="141"/>
      <c r="J95" s="162"/>
      <c r="K95" s="141"/>
      <c r="L95" s="141"/>
      <c r="M95" s="141"/>
      <c r="N95" s="148"/>
    </row>
    <row r="96" spans="1:14" ht="19" thickBot="1" x14ac:dyDescent="0.4">
      <c r="A96" s="470"/>
      <c r="B96" s="453" t="s">
        <v>57</v>
      </c>
      <c r="C96" s="454"/>
      <c r="D96" s="454"/>
      <c r="E96" s="454"/>
      <c r="F96" s="454"/>
      <c r="G96" s="140"/>
      <c r="H96" s="140" t="s">
        <v>459</v>
      </c>
      <c r="I96" s="50"/>
      <c r="J96" s="94"/>
      <c r="K96" s="51"/>
      <c r="L96" s="52">
        <f>L94</f>
        <v>0</v>
      </c>
      <c r="M96" s="53">
        <f>M94</f>
        <v>0</v>
      </c>
      <c r="N96" s="148"/>
    </row>
    <row r="97" spans="1:14" ht="19" thickBot="1" x14ac:dyDescent="0.4">
      <c r="A97" s="471"/>
      <c r="B97" s="58"/>
      <c r="C97" s="21"/>
      <c r="D97" s="21"/>
      <c r="E97" s="14"/>
      <c r="F97" s="15"/>
      <c r="G97" s="15"/>
      <c r="H97" s="16"/>
      <c r="I97" s="17"/>
      <c r="J97" s="96"/>
      <c r="K97" s="277"/>
      <c r="L97" s="278"/>
      <c r="M97" s="276"/>
      <c r="N97" s="149"/>
    </row>
    <row r="98" spans="1:14" x14ac:dyDescent="0.35">
      <c r="A98" s="78"/>
      <c r="J98" s="99"/>
    </row>
    <row r="99" spans="1:14" x14ac:dyDescent="0.35">
      <c r="A99" s="78"/>
      <c r="J99" s="99"/>
    </row>
    <row r="100" spans="1:14" x14ac:dyDescent="0.35">
      <c r="A100" s="78"/>
      <c r="J100" s="99"/>
    </row>
    <row r="101" spans="1:14" x14ac:dyDescent="0.35">
      <c r="A101" s="78"/>
      <c r="J101" s="99"/>
    </row>
    <row r="102" spans="1:14" x14ac:dyDescent="0.35">
      <c r="A102" s="78"/>
      <c r="J102" s="99"/>
    </row>
    <row r="103" spans="1:14" x14ac:dyDescent="0.35">
      <c r="A103" s="78"/>
      <c r="J103" s="99"/>
    </row>
    <row r="104" spans="1:14" x14ac:dyDescent="0.35">
      <c r="A104" s="78"/>
      <c r="J104" s="99"/>
    </row>
    <row r="105" spans="1:14" x14ac:dyDescent="0.35">
      <c r="A105" s="78"/>
      <c r="J105" s="99"/>
    </row>
    <row r="106" spans="1:14" x14ac:dyDescent="0.35">
      <c r="A106" s="78"/>
      <c r="J106" s="99"/>
    </row>
    <row r="107" spans="1:14" x14ac:dyDescent="0.35">
      <c r="A107" s="78"/>
      <c r="J107" s="99"/>
    </row>
    <row r="108" spans="1:14" x14ac:dyDescent="0.35">
      <c r="A108" s="78"/>
      <c r="J108" s="99"/>
    </row>
    <row r="109" spans="1:14" x14ac:dyDescent="0.35">
      <c r="A109" s="78"/>
      <c r="J109" s="99"/>
    </row>
    <row r="110" spans="1:14" x14ac:dyDescent="0.35">
      <c r="A110" s="78"/>
      <c r="J110" s="99"/>
    </row>
    <row r="111" spans="1:14" x14ac:dyDescent="0.35">
      <c r="A111" s="78"/>
      <c r="J111" s="99"/>
    </row>
    <row r="112" spans="1:14" x14ac:dyDescent="0.35">
      <c r="A112" s="78"/>
      <c r="J112" s="99"/>
    </row>
    <row r="113" spans="1:10" x14ac:dyDescent="0.35">
      <c r="A113" s="78"/>
      <c r="J113" s="99"/>
    </row>
    <row r="114" spans="1:10" x14ac:dyDescent="0.35">
      <c r="A114" s="78"/>
      <c r="J114" s="99"/>
    </row>
    <row r="115" spans="1:10" x14ac:dyDescent="0.35">
      <c r="A115" s="78"/>
      <c r="J115" s="99"/>
    </row>
    <row r="116" spans="1:10" x14ac:dyDescent="0.35">
      <c r="A116" s="78"/>
      <c r="J116" s="99"/>
    </row>
    <row r="117" spans="1:10" x14ac:dyDescent="0.35">
      <c r="A117" s="78"/>
      <c r="J117" s="99"/>
    </row>
    <row r="118" spans="1:10" x14ac:dyDescent="0.35">
      <c r="A118" s="78"/>
      <c r="J118" s="99"/>
    </row>
    <row r="119" spans="1:10" x14ac:dyDescent="0.35">
      <c r="A119" s="78"/>
      <c r="J119" s="99"/>
    </row>
    <row r="120" spans="1:10" x14ac:dyDescent="0.35">
      <c r="A120" s="78"/>
      <c r="J120" s="99"/>
    </row>
    <row r="121" spans="1:10" x14ac:dyDescent="0.35">
      <c r="A121" s="78"/>
      <c r="J121" s="99"/>
    </row>
    <row r="122" spans="1:10" x14ac:dyDescent="0.35">
      <c r="A122" s="78"/>
      <c r="J122" s="99"/>
    </row>
    <row r="123" spans="1:10" x14ac:dyDescent="0.35">
      <c r="A123" s="78"/>
      <c r="J123" s="99"/>
    </row>
    <row r="124" spans="1:10" x14ac:dyDescent="0.35">
      <c r="A124" s="78"/>
      <c r="J124" s="99"/>
    </row>
    <row r="125" spans="1:10" x14ac:dyDescent="0.35">
      <c r="A125" s="78"/>
      <c r="J125" s="99"/>
    </row>
    <row r="126" spans="1:10" x14ac:dyDescent="0.35">
      <c r="A126" s="78"/>
      <c r="J126" s="99"/>
    </row>
    <row r="127" spans="1:10" x14ac:dyDescent="0.35">
      <c r="A127" s="78"/>
      <c r="J127" s="99"/>
    </row>
    <row r="128" spans="1:10" x14ac:dyDescent="0.35">
      <c r="A128" s="78"/>
      <c r="J128" s="99"/>
    </row>
    <row r="129" spans="1:10" x14ac:dyDescent="0.35">
      <c r="A129" s="78"/>
      <c r="J129" s="99"/>
    </row>
    <row r="130" spans="1:10" x14ac:dyDescent="0.35">
      <c r="A130" s="78"/>
      <c r="J130" s="99"/>
    </row>
    <row r="131" spans="1:10" x14ac:dyDescent="0.35">
      <c r="A131" s="78"/>
      <c r="J131" s="99"/>
    </row>
    <row r="132" spans="1:10" x14ac:dyDescent="0.35">
      <c r="A132" s="78"/>
      <c r="J132" s="99"/>
    </row>
    <row r="133" spans="1:10" x14ac:dyDescent="0.35">
      <c r="A133" s="78"/>
      <c r="J133" s="99"/>
    </row>
    <row r="134" spans="1:10" x14ac:dyDescent="0.35">
      <c r="A134" s="78"/>
      <c r="J134" s="99"/>
    </row>
    <row r="135" spans="1:10" x14ac:dyDescent="0.35">
      <c r="A135" s="78"/>
      <c r="J135" s="99"/>
    </row>
    <row r="136" spans="1:10" x14ac:dyDescent="0.35">
      <c r="A136" s="78"/>
      <c r="J136" s="99"/>
    </row>
    <row r="137" spans="1:10" x14ac:dyDescent="0.35">
      <c r="A137" s="78"/>
      <c r="J137" s="99"/>
    </row>
    <row r="138" spans="1:10" x14ac:dyDescent="0.35">
      <c r="A138" s="78"/>
      <c r="J138" s="99"/>
    </row>
    <row r="139" spans="1:10" x14ac:dyDescent="0.35">
      <c r="A139" s="78"/>
      <c r="J139" s="99"/>
    </row>
    <row r="140" spans="1:10" x14ac:dyDescent="0.35">
      <c r="J140" s="99"/>
    </row>
    <row r="141" spans="1:10" x14ac:dyDescent="0.35">
      <c r="J141" s="99"/>
    </row>
    <row r="142" spans="1:10" x14ac:dyDescent="0.35">
      <c r="J142" s="99"/>
    </row>
    <row r="143" spans="1:10" x14ac:dyDescent="0.35">
      <c r="J143" s="99"/>
    </row>
    <row r="144" spans="1:10" x14ac:dyDescent="0.35">
      <c r="J144" s="99"/>
    </row>
    <row r="145" spans="10:10" x14ac:dyDescent="0.35">
      <c r="J145" s="99"/>
    </row>
    <row r="146" spans="10:10" x14ac:dyDescent="0.35">
      <c r="J146" s="99"/>
    </row>
    <row r="147" spans="10:10" x14ac:dyDescent="0.35">
      <c r="J147" s="99"/>
    </row>
    <row r="148" spans="10:10" x14ac:dyDescent="0.35">
      <c r="J148" s="99"/>
    </row>
    <row r="149" spans="10:10" x14ac:dyDescent="0.35">
      <c r="J149" s="99"/>
    </row>
    <row r="150" spans="10:10" x14ac:dyDescent="0.35">
      <c r="J150" s="99"/>
    </row>
    <row r="151" spans="10:10" x14ac:dyDescent="0.35">
      <c r="J151" s="99"/>
    </row>
    <row r="152" spans="10:10" x14ac:dyDescent="0.35">
      <c r="J152" s="99"/>
    </row>
    <row r="153" spans="10:10" x14ac:dyDescent="0.35">
      <c r="J153" s="99"/>
    </row>
    <row r="154" spans="10:10" x14ac:dyDescent="0.35">
      <c r="J154" s="99"/>
    </row>
    <row r="155" spans="10:10" x14ac:dyDescent="0.35">
      <c r="J155" s="99"/>
    </row>
    <row r="156" spans="10:10" x14ac:dyDescent="0.35">
      <c r="J156" s="99"/>
    </row>
    <row r="157" spans="10:10" x14ac:dyDescent="0.35">
      <c r="J157" s="99"/>
    </row>
    <row r="158" spans="10:10" x14ac:dyDescent="0.35">
      <c r="J158" s="99"/>
    </row>
    <row r="159" spans="10:10" x14ac:dyDescent="0.35">
      <c r="J159" s="99"/>
    </row>
    <row r="160" spans="10:10" x14ac:dyDescent="0.35">
      <c r="J160" s="99"/>
    </row>
    <row r="161" spans="10:10" x14ac:dyDescent="0.35">
      <c r="J161" s="99"/>
    </row>
    <row r="162" spans="10:10" x14ac:dyDescent="0.35">
      <c r="J162" s="99"/>
    </row>
    <row r="163" spans="10:10" x14ac:dyDescent="0.35">
      <c r="J163" s="99"/>
    </row>
    <row r="164" spans="10:10" x14ac:dyDescent="0.35">
      <c r="J164" s="99"/>
    </row>
    <row r="165" spans="10:10" x14ac:dyDescent="0.35">
      <c r="J165" s="99"/>
    </row>
    <row r="166" spans="10:10" x14ac:dyDescent="0.35">
      <c r="J166" s="99"/>
    </row>
    <row r="167" spans="10:10" x14ac:dyDescent="0.35">
      <c r="J167" s="99"/>
    </row>
    <row r="168" spans="10:10" x14ac:dyDescent="0.35">
      <c r="J168" s="99"/>
    </row>
    <row r="169" spans="10:10" x14ac:dyDescent="0.35">
      <c r="J169" s="99"/>
    </row>
    <row r="170" spans="10:10" x14ac:dyDescent="0.35">
      <c r="J170" s="99"/>
    </row>
    <row r="171" spans="10:10" x14ac:dyDescent="0.35">
      <c r="J171" s="99"/>
    </row>
    <row r="172" spans="10:10" x14ac:dyDescent="0.35">
      <c r="J172" s="99"/>
    </row>
    <row r="173" spans="10:10" x14ac:dyDescent="0.35">
      <c r="J173" s="99"/>
    </row>
    <row r="174" spans="10:10" x14ac:dyDescent="0.35">
      <c r="J174" s="99"/>
    </row>
    <row r="175" spans="10:10" x14ac:dyDescent="0.35">
      <c r="J175" s="99"/>
    </row>
    <row r="176" spans="10:10" x14ac:dyDescent="0.35">
      <c r="J176" s="99"/>
    </row>
    <row r="177" spans="10:10" x14ac:dyDescent="0.35">
      <c r="J177" s="99"/>
    </row>
    <row r="178" spans="10:10" x14ac:dyDescent="0.35">
      <c r="J178" s="99"/>
    </row>
    <row r="179" spans="10:10" x14ac:dyDescent="0.35">
      <c r="J179" s="99"/>
    </row>
    <row r="180" spans="10:10" x14ac:dyDescent="0.35">
      <c r="J180" s="99"/>
    </row>
    <row r="181" spans="10:10" x14ac:dyDescent="0.35">
      <c r="J181" s="99"/>
    </row>
    <row r="182" spans="10:10" x14ac:dyDescent="0.35">
      <c r="J182" s="99"/>
    </row>
    <row r="183" spans="10:10" x14ac:dyDescent="0.35">
      <c r="J183" s="99"/>
    </row>
    <row r="184" spans="10:10" x14ac:dyDescent="0.35">
      <c r="J184" s="99"/>
    </row>
    <row r="185" spans="10:10" x14ac:dyDescent="0.35">
      <c r="J185" s="99"/>
    </row>
    <row r="186" spans="10:10" x14ac:dyDescent="0.35">
      <c r="J186" s="99"/>
    </row>
    <row r="187" spans="10:10" x14ac:dyDescent="0.35">
      <c r="J187" s="99"/>
    </row>
    <row r="188" spans="10:10" x14ac:dyDescent="0.35">
      <c r="J188" s="99"/>
    </row>
    <row r="189" spans="10:10" x14ac:dyDescent="0.35">
      <c r="J189" s="99"/>
    </row>
    <row r="190" spans="10:10" x14ac:dyDescent="0.35">
      <c r="J190" s="99"/>
    </row>
    <row r="191" spans="10:10" x14ac:dyDescent="0.35">
      <c r="J191" s="99"/>
    </row>
    <row r="192" spans="10:10" x14ac:dyDescent="0.35">
      <c r="J192" s="99"/>
    </row>
    <row r="193" spans="10:10" x14ac:dyDescent="0.35">
      <c r="J193" s="99"/>
    </row>
    <row r="194" spans="10:10" x14ac:dyDescent="0.35">
      <c r="J194" s="99"/>
    </row>
    <row r="195" spans="10:10" x14ac:dyDescent="0.35">
      <c r="J195" s="99"/>
    </row>
    <row r="196" spans="10:10" x14ac:dyDescent="0.35">
      <c r="J196" s="99"/>
    </row>
    <row r="197" spans="10:10" x14ac:dyDescent="0.35">
      <c r="J197" s="99"/>
    </row>
    <row r="198" spans="10:10" x14ac:dyDescent="0.35">
      <c r="J198" s="99"/>
    </row>
    <row r="199" spans="10:10" x14ac:dyDescent="0.35">
      <c r="J199" s="99"/>
    </row>
    <row r="200" spans="10:10" x14ac:dyDescent="0.35">
      <c r="J200" s="99"/>
    </row>
    <row r="201" spans="10:10" x14ac:dyDescent="0.35">
      <c r="J201" s="99"/>
    </row>
    <row r="202" spans="10:10" x14ac:dyDescent="0.35">
      <c r="J202" s="99"/>
    </row>
    <row r="203" spans="10:10" x14ac:dyDescent="0.35">
      <c r="J203" s="99"/>
    </row>
    <row r="204" spans="10:10" x14ac:dyDescent="0.35">
      <c r="J204" s="99"/>
    </row>
    <row r="205" spans="10:10" x14ac:dyDescent="0.35">
      <c r="J205" s="99"/>
    </row>
    <row r="206" spans="10:10" x14ac:dyDescent="0.35">
      <c r="J206" s="99"/>
    </row>
    <row r="207" spans="10:10" x14ac:dyDescent="0.35">
      <c r="J207" s="99"/>
    </row>
    <row r="208" spans="10:10" x14ac:dyDescent="0.35">
      <c r="J208" s="99"/>
    </row>
    <row r="209" spans="10:10" x14ac:dyDescent="0.35">
      <c r="J209" s="99"/>
    </row>
    <row r="210" spans="10:10" x14ac:dyDescent="0.35">
      <c r="J210" s="99"/>
    </row>
    <row r="211" spans="10:10" x14ac:dyDescent="0.35">
      <c r="J211" s="99"/>
    </row>
    <row r="212" spans="10:10" x14ac:dyDescent="0.35">
      <c r="J212" s="99"/>
    </row>
    <row r="213" spans="10:10" x14ac:dyDescent="0.35">
      <c r="J213" s="99"/>
    </row>
    <row r="214" spans="10:10" x14ac:dyDescent="0.35">
      <c r="J214" s="99"/>
    </row>
    <row r="215" spans="10:10" x14ac:dyDescent="0.35">
      <c r="J215" s="99"/>
    </row>
    <row r="216" spans="10:10" x14ac:dyDescent="0.35">
      <c r="J216" s="99"/>
    </row>
    <row r="217" spans="10:10" x14ac:dyDescent="0.35">
      <c r="J217" s="99"/>
    </row>
    <row r="218" spans="10:10" x14ac:dyDescent="0.35">
      <c r="J218" s="99"/>
    </row>
    <row r="219" spans="10:10" x14ac:dyDescent="0.35">
      <c r="J219" s="99"/>
    </row>
    <row r="220" spans="10:10" x14ac:dyDescent="0.35">
      <c r="J220" s="99"/>
    </row>
    <row r="221" spans="10:10" x14ac:dyDescent="0.35">
      <c r="J221" s="99"/>
    </row>
    <row r="222" spans="10:10" x14ac:dyDescent="0.35">
      <c r="J222" s="99"/>
    </row>
    <row r="223" spans="10:10" x14ac:dyDescent="0.35">
      <c r="J223" s="99"/>
    </row>
    <row r="224" spans="10:10" x14ac:dyDescent="0.35">
      <c r="J224" s="99"/>
    </row>
    <row r="225" spans="10:10" x14ac:dyDescent="0.35">
      <c r="J225" s="99"/>
    </row>
    <row r="226" spans="10:10" x14ac:dyDescent="0.35">
      <c r="J226" s="99"/>
    </row>
    <row r="227" spans="10:10" x14ac:dyDescent="0.35">
      <c r="J227" s="99"/>
    </row>
    <row r="228" spans="10:10" x14ac:dyDescent="0.35">
      <c r="J228" s="99"/>
    </row>
    <row r="229" spans="10:10" x14ac:dyDescent="0.35">
      <c r="J229" s="99"/>
    </row>
    <row r="230" spans="10:10" x14ac:dyDescent="0.35">
      <c r="J230" s="99"/>
    </row>
    <row r="231" spans="10:10" x14ac:dyDescent="0.35">
      <c r="J231" s="99"/>
    </row>
    <row r="232" spans="10:10" x14ac:dyDescent="0.35">
      <c r="J232" s="99"/>
    </row>
    <row r="233" spans="10:10" x14ac:dyDescent="0.35">
      <c r="J233" s="99"/>
    </row>
    <row r="234" spans="10:10" x14ac:dyDescent="0.35">
      <c r="J234" s="99"/>
    </row>
    <row r="235" spans="10:10" x14ac:dyDescent="0.35">
      <c r="J235" s="99"/>
    </row>
    <row r="236" spans="10:10" x14ac:dyDescent="0.35">
      <c r="J236" s="99"/>
    </row>
    <row r="237" spans="10:10" x14ac:dyDescent="0.35">
      <c r="J237" s="99"/>
    </row>
    <row r="238" spans="10:10" x14ac:dyDescent="0.35">
      <c r="J238" s="99"/>
    </row>
    <row r="239" spans="10:10" x14ac:dyDescent="0.35">
      <c r="J239" s="99"/>
    </row>
    <row r="240" spans="10:10" x14ac:dyDescent="0.35">
      <c r="J240" s="99"/>
    </row>
    <row r="241" spans="10:10" x14ac:dyDescent="0.35">
      <c r="J241" s="99"/>
    </row>
    <row r="242" spans="10:10" x14ac:dyDescent="0.35">
      <c r="J242" s="99"/>
    </row>
    <row r="243" spans="10:10" x14ac:dyDescent="0.35">
      <c r="J243" s="99"/>
    </row>
    <row r="244" spans="10:10" x14ac:dyDescent="0.35">
      <c r="J244" s="99"/>
    </row>
    <row r="245" spans="10:10" x14ac:dyDescent="0.35">
      <c r="J245" s="99"/>
    </row>
    <row r="246" spans="10:10" x14ac:dyDescent="0.35">
      <c r="J246" s="99"/>
    </row>
    <row r="247" spans="10:10" x14ac:dyDescent="0.35">
      <c r="J247" s="99"/>
    </row>
    <row r="248" spans="10:10" x14ac:dyDescent="0.35">
      <c r="J248" s="99"/>
    </row>
    <row r="249" spans="10:10" x14ac:dyDescent="0.35">
      <c r="J249" s="99"/>
    </row>
    <row r="250" spans="10:10" x14ac:dyDescent="0.35">
      <c r="J250" s="99"/>
    </row>
    <row r="251" spans="10:10" x14ac:dyDescent="0.35">
      <c r="J251" s="99"/>
    </row>
    <row r="252" spans="10:10" x14ac:dyDescent="0.35">
      <c r="J252" s="99"/>
    </row>
    <row r="253" spans="10:10" x14ac:dyDescent="0.35">
      <c r="J253" s="99"/>
    </row>
    <row r="254" spans="10:10" x14ac:dyDescent="0.35">
      <c r="J254" s="99"/>
    </row>
    <row r="255" spans="10:10" x14ac:dyDescent="0.35">
      <c r="J255" s="99"/>
    </row>
    <row r="256" spans="10:10" x14ac:dyDescent="0.35">
      <c r="J256" s="99"/>
    </row>
    <row r="257" spans="10:10" x14ac:dyDescent="0.35">
      <c r="J257" s="99"/>
    </row>
    <row r="258" spans="10:10" x14ac:dyDescent="0.35">
      <c r="J258" s="99"/>
    </row>
    <row r="259" spans="10:10" x14ac:dyDescent="0.35">
      <c r="J259" s="99"/>
    </row>
    <row r="260" spans="10:10" x14ac:dyDescent="0.35">
      <c r="J260" s="99"/>
    </row>
    <row r="261" spans="10:10" x14ac:dyDescent="0.35">
      <c r="J261" s="99"/>
    </row>
    <row r="262" spans="10:10" x14ac:dyDescent="0.35">
      <c r="J262" s="99"/>
    </row>
    <row r="263" spans="10:10" x14ac:dyDescent="0.35">
      <c r="J263" s="99"/>
    </row>
    <row r="264" spans="10:10" x14ac:dyDescent="0.35">
      <c r="J264" s="99"/>
    </row>
    <row r="265" spans="10:10" x14ac:dyDescent="0.35">
      <c r="J265" s="99"/>
    </row>
    <row r="266" spans="10:10" x14ac:dyDescent="0.35">
      <c r="J266" s="99"/>
    </row>
    <row r="267" spans="10:10" x14ac:dyDescent="0.35">
      <c r="J267" s="99"/>
    </row>
    <row r="268" spans="10:10" x14ac:dyDescent="0.35">
      <c r="J268" s="99"/>
    </row>
    <row r="269" spans="10:10" x14ac:dyDescent="0.35">
      <c r="J269" s="99"/>
    </row>
    <row r="270" spans="10:10" x14ac:dyDescent="0.35">
      <c r="J270" s="99"/>
    </row>
    <row r="271" spans="10:10" x14ac:dyDescent="0.35">
      <c r="J271" s="99"/>
    </row>
    <row r="272" spans="10:10" x14ac:dyDescent="0.35">
      <c r="J272" s="99"/>
    </row>
    <row r="273" spans="10:10" x14ac:dyDescent="0.35">
      <c r="J273" s="99"/>
    </row>
    <row r="274" spans="10:10" x14ac:dyDescent="0.35">
      <c r="J274" s="99"/>
    </row>
    <row r="275" spans="10:10" x14ac:dyDescent="0.35">
      <c r="J275" s="99"/>
    </row>
    <row r="276" spans="10:10" x14ac:dyDescent="0.35">
      <c r="J276" s="99"/>
    </row>
    <row r="277" spans="10:10" x14ac:dyDescent="0.35">
      <c r="J277" s="99"/>
    </row>
    <row r="278" spans="10:10" x14ac:dyDescent="0.35">
      <c r="J278" s="99"/>
    </row>
    <row r="279" spans="10:10" x14ac:dyDescent="0.35">
      <c r="J279" s="99"/>
    </row>
    <row r="280" spans="10:10" x14ac:dyDescent="0.35">
      <c r="J280" s="99"/>
    </row>
    <row r="281" spans="10:10" x14ac:dyDescent="0.35">
      <c r="J281" s="99"/>
    </row>
    <row r="282" spans="10:10" x14ac:dyDescent="0.35">
      <c r="J282" s="99"/>
    </row>
    <row r="283" spans="10:10" x14ac:dyDescent="0.35">
      <c r="J283" s="99"/>
    </row>
    <row r="284" spans="10:10" x14ac:dyDescent="0.35">
      <c r="J284" s="99"/>
    </row>
    <row r="285" spans="10:10" x14ac:dyDescent="0.35">
      <c r="J285" s="99"/>
    </row>
    <row r="286" spans="10:10" x14ac:dyDescent="0.35">
      <c r="J286" s="99"/>
    </row>
    <row r="287" spans="10:10" x14ac:dyDescent="0.35">
      <c r="J287" s="99"/>
    </row>
    <row r="288" spans="10:10" x14ac:dyDescent="0.35">
      <c r="J288" s="99"/>
    </row>
    <row r="289" spans="10:10" x14ac:dyDescent="0.35">
      <c r="J289" s="99"/>
    </row>
    <row r="290" spans="10:10" x14ac:dyDescent="0.35">
      <c r="J290" s="99"/>
    </row>
    <row r="291" spans="10:10" x14ac:dyDescent="0.35">
      <c r="J291" s="99"/>
    </row>
    <row r="292" spans="10:10" x14ac:dyDescent="0.35">
      <c r="J292" s="99"/>
    </row>
    <row r="293" spans="10:10" x14ac:dyDescent="0.35">
      <c r="J293" s="99"/>
    </row>
    <row r="294" spans="10:10" x14ac:dyDescent="0.35">
      <c r="J294" s="99"/>
    </row>
    <row r="295" spans="10:10" x14ac:dyDescent="0.35">
      <c r="J295" s="99"/>
    </row>
    <row r="296" spans="10:10" x14ac:dyDescent="0.35">
      <c r="J296" s="99"/>
    </row>
    <row r="297" spans="10:10" x14ac:dyDescent="0.35">
      <c r="J297" s="99"/>
    </row>
    <row r="298" spans="10:10" x14ac:dyDescent="0.35">
      <c r="J298" s="99"/>
    </row>
    <row r="299" spans="10:10" x14ac:dyDescent="0.35">
      <c r="J299" s="99"/>
    </row>
    <row r="300" spans="10:10" x14ac:dyDescent="0.35">
      <c r="J300" s="99"/>
    </row>
    <row r="301" spans="10:10" x14ac:dyDescent="0.35">
      <c r="J301" s="99"/>
    </row>
    <row r="302" spans="10:10" x14ac:dyDescent="0.35">
      <c r="J302" s="99"/>
    </row>
  </sheetData>
  <sheetProtection sheet="1" objects="1" scenarios="1"/>
  <mergeCells count="22">
    <mergeCell ref="A9:G9"/>
    <mergeCell ref="A2:N2"/>
    <mergeCell ref="A5:G5"/>
    <mergeCell ref="A6:G6"/>
    <mergeCell ref="A7:G7"/>
    <mergeCell ref="A8:G8"/>
    <mergeCell ref="A10:G10"/>
    <mergeCell ref="F14:G14"/>
    <mergeCell ref="B21:F21"/>
    <mergeCell ref="B63:F63"/>
    <mergeCell ref="A16:A22"/>
    <mergeCell ref="A23:A64"/>
    <mergeCell ref="C14:D14"/>
    <mergeCell ref="A11:K11"/>
    <mergeCell ref="B96:F96"/>
    <mergeCell ref="A91:A97"/>
    <mergeCell ref="A65:A71"/>
    <mergeCell ref="B70:F70"/>
    <mergeCell ref="A72:A78"/>
    <mergeCell ref="B77:F77"/>
    <mergeCell ref="A79:A90"/>
    <mergeCell ref="B89:F89"/>
  </mergeCells>
  <pageMargins left="0.23622047244094491" right="0.23622047244094491" top="0.11811023622047245" bottom="0.27559055118110237" header="0.11811023622047245" footer="0.11811023622047245"/>
  <pageSetup paperSize="9" scale="43" firstPageNumber="40" fitToHeight="0" orientation="landscape" useFirstPageNumber="1" horizontalDpi="1200" verticalDpi="1200" r:id="rId1"/>
  <headerFooter>
    <oddFooter>&amp;C&amp;P/43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N130"/>
  <sheetViews>
    <sheetView view="pageLayout" zoomScale="40" zoomScaleNormal="85" zoomScalePageLayoutView="40" workbookViewId="0">
      <selection activeCell="K17" sqref="K17"/>
    </sheetView>
  </sheetViews>
  <sheetFormatPr defaultColWidth="9.1796875" defaultRowHeight="14.5" x14ac:dyDescent="0.35"/>
  <cols>
    <col min="1" max="1" width="5" style="43" customWidth="1"/>
    <col min="2" max="2" width="5.7265625" style="54" customWidth="1"/>
    <col min="3" max="3" width="5.81640625" style="6" customWidth="1"/>
    <col min="4" max="4" width="7" style="6" customWidth="1"/>
    <col min="5" max="5" width="3.7265625" style="6" customWidth="1"/>
    <col min="6" max="6" width="50.7265625" style="6" customWidth="1"/>
    <col min="7" max="7" width="20.26953125" style="6" customWidth="1"/>
    <col min="8" max="8" width="55.7265625" style="43" customWidth="1"/>
    <col min="9" max="11" width="13.7265625" style="43" customWidth="1"/>
    <col min="12" max="13" width="25.7265625" style="43" customWidth="1"/>
    <col min="14" max="14" width="85.7265625" style="43" customWidth="1"/>
    <col min="15" max="15" width="13.7265625" style="43" customWidth="1"/>
    <col min="16" max="16384" width="9.1796875" style="43"/>
  </cols>
  <sheetData>
    <row r="2" spans="1:14" s="151" customFormat="1" ht="35.15" customHeight="1" x14ac:dyDescent="0.35">
      <c r="A2" s="467" t="s">
        <v>758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</row>
    <row r="3" spans="1:14" s="151" customFormat="1" ht="10" customHeight="1" thickBot="1" x14ac:dyDescent="0.4">
      <c r="A3" s="264"/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156"/>
      <c r="M3" s="156"/>
      <c r="N3" s="156"/>
    </row>
    <row r="4" spans="1:14" ht="26.5" thickBot="1" x14ac:dyDescent="0.4">
      <c r="A4" s="242"/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153" t="s">
        <v>7</v>
      </c>
      <c r="M4" s="153" t="s">
        <v>8</v>
      </c>
      <c r="N4" s="152"/>
    </row>
    <row r="5" spans="1:14" ht="18.5" x14ac:dyDescent="0.35">
      <c r="A5" s="457" t="s">
        <v>55</v>
      </c>
      <c r="B5" s="458"/>
      <c r="C5" s="458"/>
      <c r="D5" s="458"/>
      <c r="E5" s="458"/>
      <c r="F5" s="458"/>
      <c r="G5" s="458"/>
      <c r="H5" s="243"/>
      <c r="I5" s="243"/>
      <c r="J5" s="243"/>
      <c r="K5" s="243"/>
      <c r="L5" s="154">
        <f>L24</f>
        <v>0</v>
      </c>
      <c r="M5" s="154">
        <f>M24</f>
        <v>0</v>
      </c>
      <c r="N5" s="152"/>
    </row>
    <row r="6" spans="1:14" ht="18.5" x14ac:dyDescent="0.35">
      <c r="A6" s="457" t="s">
        <v>37</v>
      </c>
      <c r="B6" s="458"/>
      <c r="C6" s="458"/>
      <c r="D6" s="458"/>
      <c r="E6" s="458"/>
      <c r="F6" s="458"/>
      <c r="G6" s="458"/>
      <c r="H6" s="243"/>
      <c r="I6" s="243"/>
      <c r="J6" s="243"/>
      <c r="K6" s="243"/>
      <c r="L6" s="154">
        <f>L45</f>
        <v>0</v>
      </c>
      <c r="M6" s="154">
        <f>M45</f>
        <v>0</v>
      </c>
      <c r="N6" s="152"/>
    </row>
    <row r="7" spans="1:14" ht="18.5" x14ac:dyDescent="0.35">
      <c r="A7" s="457" t="s">
        <v>43</v>
      </c>
      <c r="B7" s="458"/>
      <c r="C7" s="458"/>
      <c r="D7" s="458"/>
      <c r="E7" s="458"/>
      <c r="F7" s="458"/>
      <c r="G7" s="458"/>
      <c r="H7" s="243"/>
      <c r="I7" s="243"/>
      <c r="J7" s="243"/>
      <c r="K7" s="243"/>
      <c r="L7" s="154">
        <f>L52</f>
        <v>0</v>
      </c>
      <c r="M7" s="154">
        <f>M52</f>
        <v>0</v>
      </c>
      <c r="N7" s="152"/>
    </row>
    <row r="8" spans="1:14" ht="18.5" x14ac:dyDescent="0.35">
      <c r="A8" s="457" t="s">
        <v>45</v>
      </c>
      <c r="B8" s="458"/>
      <c r="C8" s="458"/>
      <c r="D8" s="458"/>
      <c r="E8" s="458"/>
      <c r="F8" s="458"/>
      <c r="G8" s="458"/>
      <c r="H8" s="243"/>
      <c r="I8" s="243"/>
      <c r="J8" s="243"/>
      <c r="K8" s="243"/>
      <c r="L8" s="154">
        <f>L59</f>
        <v>0</v>
      </c>
      <c r="M8" s="154">
        <f>M59</f>
        <v>0</v>
      </c>
      <c r="N8" s="152"/>
    </row>
    <row r="9" spans="1:14" ht="18.5" x14ac:dyDescent="0.35">
      <c r="A9" s="457" t="s">
        <v>56</v>
      </c>
      <c r="B9" s="458"/>
      <c r="C9" s="458"/>
      <c r="D9" s="458"/>
      <c r="E9" s="458"/>
      <c r="F9" s="458"/>
      <c r="G9" s="458"/>
      <c r="H9" s="243"/>
      <c r="I9" s="243"/>
      <c r="J9" s="243"/>
      <c r="K9" s="243"/>
      <c r="L9" s="154">
        <f>L77</f>
        <v>0</v>
      </c>
      <c r="M9" s="154">
        <f>M77</f>
        <v>0</v>
      </c>
      <c r="N9" s="152"/>
    </row>
    <row r="10" spans="1:14" ht="19" thickBot="1" x14ac:dyDescent="0.4">
      <c r="A10" s="457" t="s">
        <v>57</v>
      </c>
      <c r="B10" s="458"/>
      <c r="C10" s="458"/>
      <c r="D10" s="458"/>
      <c r="E10" s="458"/>
      <c r="F10" s="458"/>
      <c r="G10" s="458"/>
      <c r="H10" s="243"/>
      <c r="I10" s="243"/>
      <c r="J10" s="243"/>
      <c r="K10" s="243"/>
      <c r="L10" s="154">
        <f>L84</f>
        <v>0</v>
      </c>
      <c r="M10" s="154">
        <f>M84</f>
        <v>0</v>
      </c>
      <c r="N10" s="152"/>
    </row>
    <row r="11" spans="1:14" ht="26.5" thickBot="1" x14ac:dyDescent="0.4">
      <c r="A11" s="465" t="s">
        <v>472</v>
      </c>
      <c r="B11" s="458"/>
      <c r="C11" s="458"/>
      <c r="D11" s="458"/>
      <c r="E11" s="458"/>
      <c r="F11" s="458"/>
      <c r="G11" s="458"/>
      <c r="H11" s="458"/>
      <c r="I11" s="458"/>
      <c r="J11" s="458"/>
      <c r="K11" s="466"/>
      <c r="L11" s="155">
        <f>SUM(L5:L10)</f>
        <v>0</v>
      </c>
      <c r="M11" s="155">
        <f>SUM(M5:M10)</f>
        <v>0</v>
      </c>
      <c r="N11" s="152"/>
    </row>
    <row r="12" spans="1:14" ht="26" x14ac:dyDescent="0.35">
      <c r="A12" s="246"/>
      <c r="B12" s="247"/>
      <c r="C12" s="248"/>
      <c r="D12" s="248"/>
      <c r="E12" s="248"/>
      <c r="F12" s="248"/>
      <c r="G12" s="248"/>
      <c r="H12" s="248"/>
      <c r="I12" s="248"/>
      <c r="J12" s="248"/>
      <c r="K12" s="248"/>
    </row>
    <row r="13" spans="1:14" ht="19" thickBot="1" x14ac:dyDescent="0.4">
      <c r="C13" s="19"/>
      <c r="D13" s="19"/>
    </row>
    <row r="14" spans="1:14" s="1" customFormat="1" ht="30.75" customHeight="1" thickBot="1" x14ac:dyDescent="0.4">
      <c r="A14" s="27" t="s">
        <v>25</v>
      </c>
      <c r="B14" s="27" t="s">
        <v>26</v>
      </c>
      <c r="C14" s="464" t="s">
        <v>27</v>
      </c>
      <c r="D14" s="460"/>
      <c r="E14" s="5"/>
      <c r="F14" s="459" t="s">
        <v>11</v>
      </c>
      <c r="G14" s="460"/>
      <c r="H14" s="4" t="s">
        <v>48</v>
      </c>
      <c r="I14" s="4" t="s">
        <v>0</v>
      </c>
      <c r="J14" s="4" t="s">
        <v>1</v>
      </c>
      <c r="K14" s="4" t="s">
        <v>2</v>
      </c>
      <c r="L14" s="4" t="s">
        <v>7</v>
      </c>
      <c r="M14" s="4" t="s">
        <v>8</v>
      </c>
      <c r="N14" s="4" t="s">
        <v>3</v>
      </c>
    </row>
    <row r="15" spans="1:14" s="204" customFormat="1" ht="15" customHeight="1" thickBot="1" x14ac:dyDescent="0.4">
      <c r="A15" s="285"/>
      <c r="B15" s="286"/>
      <c r="C15" s="287"/>
      <c r="D15" s="287"/>
      <c r="E15" s="271"/>
      <c r="F15" s="288"/>
      <c r="G15" s="288"/>
      <c r="H15" s="288"/>
      <c r="I15" s="288"/>
      <c r="J15" s="288"/>
      <c r="K15" s="288"/>
      <c r="L15" s="288"/>
      <c r="M15" s="288"/>
      <c r="N15" s="288"/>
    </row>
    <row r="16" spans="1:14" ht="18.5" x14ac:dyDescent="0.35">
      <c r="A16" s="476" t="s">
        <v>41</v>
      </c>
      <c r="B16" s="55"/>
      <c r="C16" s="45"/>
      <c r="D16" s="45"/>
      <c r="E16" s="46"/>
      <c r="F16" s="47"/>
      <c r="G16" s="47"/>
      <c r="H16" s="44"/>
      <c r="I16" s="48"/>
      <c r="J16" s="92"/>
      <c r="K16" s="49"/>
      <c r="L16" s="49"/>
      <c r="M16" s="49"/>
      <c r="N16" s="146"/>
    </row>
    <row r="17" spans="1:14" ht="21" customHeight="1" x14ac:dyDescent="0.35">
      <c r="A17" s="462"/>
      <c r="B17" s="57">
        <v>272</v>
      </c>
      <c r="C17" s="35" t="s">
        <v>9</v>
      </c>
      <c r="D17" s="35" t="s">
        <v>157</v>
      </c>
      <c r="E17" s="36"/>
      <c r="F17" s="37" t="s">
        <v>22</v>
      </c>
      <c r="G17" s="10"/>
      <c r="H17" s="103" t="s">
        <v>160</v>
      </c>
      <c r="I17" s="68" t="s">
        <v>4</v>
      </c>
      <c r="J17" s="95">
        <f>9.89+6.55*2.85</f>
        <v>28.557500000000001</v>
      </c>
      <c r="K17" s="312">
        <v>0</v>
      </c>
      <c r="L17" s="141"/>
      <c r="M17" s="69">
        <f>K17*J17</f>
        <v>0</v>
      </c>
      <c r="N17" s="147"/>
    </row>
    <row r="18" spans="1:14" ht="21" customHeight="1" x14ac:dyDescent="0.35">
      <c r="A18" s="462"/>
      <c r="B18" s="56"/>
      <c r="C18" s="18"/>
      <c r="D18" s="18"/>
      <c r="E18" s="9"/>
      <c r="F18" s="25"/>
      <c r="G18" s="11"/>
      <c r="H18" s="103" t="s">
        <v>393</v>
      </c>
      <c r="I18" s="68" t="s">
        <v>4</v>
      </c>
      <c r="J18" s="95">
        <f>6.55*2.85</f>
        <v>18.6675</v>
      </c>
      <c r="K18" s="312">
        <v>0</v>
      </c>
      <c r="L18" s="141"/>
      <c r="M18" s="69">
        <f>K18*J18</f>
        <v>0</v>
      </c>
      <c r="N18" s="148"/>
    </row>
    <row r="19" spans="1:14" ht="21" x14ac:dyDescent="0.35">
      <c r="A19" s="462"/>
      <c r="B19" s="56"/>
      <c r="C19" s="18"/>
      <c r="D19" s="18"/>
      <c r="E19" s="7"/>
      <c r="F19" s="25"/>
      <c r="G19" s="12"/>
      <c r="H19" s="103"/>
      <c r="I19" s="68"/>
      <c r="J19" s="95"/>
      <c r="K19" s="69"/>
      <c r="L19" s="69"/>
      <c r="M19" s="69"/>
      <c r="N19" s="169"/>
    </row>
    <row r="20" spans="1:14" ht="21" x14ac:dyDescent="0.35">
      <c r="A20" s="462"/>
      <c r="B20" s="57">
        <v>273</v>
      </c>
      <c r="C20" s="35" t="s">
        <v>9</v>
      </c>
      <c r="D20" s="35" t="s">
        <v>158</v>
      </c>
      <c r="E20" s="38"/>
      <c r="F20" s="39" t="s">
        <v>21</v>
      </c>
      <c r="G20" s="12"/>
      <c r="H20" s="103" t="s">
        <v>590</v>
      </c>
      <c r="I20" s="68" t="s">
        <v>6</v>
      </c>
      <c r="J20" s="95">
        <v>1</v>
      </c>
      <c r="K20" s="312">
        <v>0</v>
      </c>
      <c r="L20" s="141"/>
      <c r="M20" s="69">
        <f>K20*J20</f>
        <v>0</v>
      </c>
      <c r="N20" s="148"/>
    </row>
    <row r="21" spans="1:14" ht="21" x14ac:dyDescent="0.35">
      <c r="A21" s="462"/>
      <c r="B21" s="56"/>
      <c r="C21" s="18"/>
      <c r="D21" s="18"/>
      <c r="E21" s="7"/>
      <c r="F21" s="25"/>
      <c r="G21" s="12"/>
      <c r="H21" s="103"/>
      <c r="I21" s="68"/>
      <c r="J21" s="95"/>
      <c r="K21" s="69"/>
      <c r="L21" s="69"/>
      <c r="M21" s="69"/>
      <c r="N21" s="148"/>
    </row>
    <row r="22" spans="1:14" ht="18.5" x14ac:dyDescent="0.35">
      <c r="A22" s="462"/>
      <c r="B22" s="57">
        <v>274</v>
      </c>
      <c r="C22" s="35" t="s">
        <v>9</v>
      </c>
      <c r="D22" s="35" t="s">
        <v>159</v>
      </c>
      <c r="E22" s="40"/>
      <c r="F22" s="39" t="s">
        <v>37</v>
      </c>
      <c r="G22" s="13"/>
      <c r="H22" s="323" t="s">
        <v>735</v>
      </c>
      <c r="I22" s="68" t="s">
        <v>6</v>
      </c>
      <c r="J22" s="95">
        <v>1</v>
      </c>
      <c r="K22" s="312">
        <v>0</v>
      </c>
      <c r="L22" s="141"/>
      <c r="M22" s="69">
        <f>K22*J22</f>
        <v>0</v>
      </c>
      <c r="N22" s="148" t="s">
        <v>668</v>
      </c>
    </row>
    <row r="23" spans="1:14" ht="19" thickBot="1" x14ac:dyDescent="0.4">
      <c r="A23" s="462"/>
      <c r="B23" s="59"/>
      <c r="C23" s="41"/>
      <c r="D23" s="41"/>
      <c r="E23" s="61"/>
      <c r="F23" s="62"/>
      <c r="G23" s="13"/>
      <c r="H23" s="103"/>
      <c r="I23" s="68"/>
      <c r="J23" s="95"/>
      <c r="K23" s="69"/>
      <c r="L23" s="69"/>
      <c r="M23" s="69"/>
      <c r="N23" s="148"/>
    </row>
    <row r="24" spans="1:14" ht="19" thickBot="1" x14ac:dyDescent="0.4">
      <c r="A24" s="462"/>
      <c r="B24" s="453" t="s">
        <v>13</v>
      </c>
      <c r="C24" s="454"/>
      <c r="D24" s="454"/>
      <c r="E24" s="454"/>
      <c r="F24" s="454"/>
      <c r="G24" s="140"/>
      <c r="H24" s="140" t="s">
        <v>459</v>
      </c>
      <c r="I24" s="50"/>
      <c r="J24" s="94"/>
      <c r="K24" s="51"/>
      <c r="L24" s="52">
        <f>SUM(L17:L22)</f>
        <v>0</v>
      </c>
      <c r="M24" s="53">
        <f>SUM(M17:M22)</f>
        <v>0</v>
      </c>
      <c r="N24" s="148"/>
    </row>
    <row r="25" spans="1:14" ht="19" thickBot="1" x14ac:dyDescent="0.4">
      <c r="A25" s="463"/>
      <c r="B25" s="58"/>
      <c r="C25" s="21"/>
      <c r="D25" s="21"/>
      <c r="E25" s="14"/>
      <c r="F25" s="15"/>
      <c r="G25" s="15"/>
      <c r="H25" s="16"/>
      <c r="I25" s="17"/>
      <c r="J25" s="96"/>
      <c r="K25" s="277"/>
      <c r="L25" s="278"/>
      <c r="M25" s="276"/>
      <c r="N25" s="148"/>
    </row>
    <row r="26" spans="1:14" ht="18.75" customHeight="1" x14ac:dyDescent="0.35">
      <c r="A26" s="476" t="s">
        <v>40</v>
      </c>
      <c r="B26" s="56"/>
      <c r="C26" s="20"/>
      <c r="D26" s="20"/>
      <c r="E26" s="8"/>
      <c r="F26" s="13"/>
      <c r="G26" s="13"/>
      <c r="H26" s="141"/>
      <c r="I26" s="68"/>
      <c r="J26" s="95"/>
      <c r="K26" s="69"/>
      <c r="L26" s="69"/>
      <c r="M26" s="69"/>
      <c r="N26" s="146"/>
    </row>
    <row r="27" spans="1:14" ht="18.5" x14ac:dyDescent="0.35">
      <c r="A27" s="462"/>
      <c r="B27" s="57">
        <v>275</v>
      </c>
      <c r="C27" s="35" t="s">
        <v>14</v>
      </c>
      <c r="D27" s="35" t="s">
        <v>157</v>
      </c>
      <c r="E27" s="40"/>
      <c r="F27" s="160" t="s">
        <v>32</v>
      </c>
      <c r="G27" s="161" t="s">
        <v>17</v>
      </c>
      <c r="H27" s="103" t="s">
        <v>475</v>
      </c>
      <c r="I27" s="68" t="s">
        <v>5</v>
      </c>
      <c r="J27" s="95">
        <f>1.78*2+0.83*2</f>
        <v>5.22</v>
      </c>
      <c r="K27" s="312">
        <v>0</v>
      </c>
      <c r="L27" s="69">
        <f>K27*J27</f>
        <v>0</v>
      </c>
      <c r="M27" s="312">
        <v>0</v>
      </c>
      <c r="N27" s="148"/>
    </row>
    <row r="28" spans="1:14" ht="18.5" x14ac:dyDescent="0.35">
      <c r="A28" s="462"/>
      <c r="B28" s="56"/>
      <c r="C28" s="20"/>
      <c r="D28" s="20"/>
      <c r="E28" s="8"/>
      <c r="F28" s="13"/>
      <c r="G28" s="161"/>
      <c r="H28" s="103" t="s">
        <v>476</v>
      </c>
      <c r="I28" s="68" t="s">
        <v>5</v>
      </c>
      <c r="J28" s="95">
        <f>3*0.75</f>
        <v>2.25</v>
      </c>
      <c r="K28" s="312">
        <v>0</v>
      </c>
      <c r="L28" s="69">
        <f>K28*J28</f>
        <v>0</v>
      </c>
      <c r="M28" s="312">
        <v>0</v>
      </c>
      <c r="N28" s="148"/>
    </row>
    <row r="29" spans="1:14" x14ac:dyDescent="0.35">
      <c r="A29" s="462"/>
      <c r="B29" s="56"/>
      <c r="C29" s="8"/>
      <c r="D29" s="8"/>
      <c r="E29" s="8"/>
      <c r="F29" s="13"/>
      <c r="G29" s="161"/>
      <c r="H29" s="103" t="s">
        <v>705</v>
      </c>
      <c r="I29" s="68" t="s">
        <v>5</v>
      </c>
      <c r="J29" s="95">
        <f>3*0.75*0.03</f>
        <v>6.7500000000000004E-2</v>
      </c>
      <c r="K29" s="312">
        <v>0</v>
      </c>
      <c r="L29" s="69">
        <f>K29*J29</f>
        <v>0</v>
      </c>
      <c r="M29" s="312">
        <v>0</v>
      </c>
      <c r="N29" s="148"/>
    </row>
    <row r="30" spans="1:14" x14ac:dyDescent="0.35">
      <c r="A30" s="462"/>
      <c r="B30" s="56"/>
      <c r="C30" s="8"/>
      <c r="D30" s="8"/>
      <c r="E30" s="8"/>
      <c r="F30" s="13"/>
      <c r="G30" s="161"/>
      <c r="H30" s="103"/>
      <c r="I30" s="68"/>
      <c r="J30" s="95"/>
      <c r="K30" s="69"/>
      <c r="L30" s="69"/>
      <c r="M30" s="69"/>
      <c r="N30" s="148"/>
    </row>
    <row r="31" spans="1:14" x14ac:dyDescent="0.35">
      <c r="A31" s="462"/>
      <c r="B31" s="56"/>
      <c r="C31" s="8"/>
      <c r="D31" s="8"/>
      <c r="E31" s="8"/>
      <c r="F31" s="13"/>
      <c r="G31" s="161" t="s">
        <v>18</v>
      </c>
      <c r="H31" s="103" t="s">
        <v>498</v>
      </c>
      <c r="I31" s="68" t="s">
        <v>4</v>
      </c>
      <c r="J31" s="95">
        <f>J27*2*0.04*3+0.5</f>
        <v>1.7527999999999999</v>
      </c>
      <c r="K31" s="312">
        <v>0</v>
      </c>
      <c r="L31" s="69">
        <f>K31*J31</f>
        <v>0</v>
      </c>
      <c r="M31" s="312">
        <v>0</v>
      </c>
      <c r="N31" s="148" t="s">
        <v>519</v>
      </c>
    </row>
    <row r="32" spans="1:14" x14ac:dyDescent="0.35">
      <c r="A32" s="462"/>
      <c r="B32" s="56"/>
      <c r="C32" s="8"/>
      <c r="D32" s="8"/>
      <c r="E32" s="8"/>
      <c r="F32" s="13"/>
      <c r="G32" s="161"/>
      <c r="H32" s="103"/>
      <c r="I32" s="68"/>
      <c r="J32" s="95"/>
      <c r="K32" s="69"/>
      <c r="L32" s="69"/>
      <c r="M32" s="69"/>
      <c r="N32" s="148"/>
    </row>
    <row r="33" spans="1:14" x14ac:dyDescent="0.35">
      <c r="A33" s="462"/>
      <c r="B33" s="56"/>
      <c r="C33" s="8"/>
      <c r="D33" s="8"/>
      <c r="E33" s="8"/>
      <c r="F33" s="13"/>
      <c r="G33" s="161" t="s">
        <v>19</v>
      </c>
      <c r="H33" s="103" t="s">
        <v>770</v>
      </c>
      <c r="I33" s="68" t="s">
        <v>4</v>
      </c>
      <c r="J33" s="95">
        <f>0.79*0.79</f>
        <v>0.6241000000000001</v>
      </c>
      <c r="K33" s="312">
        <v>0</v>
      </c>
      <c r="L33" s="69">
        <f>K33*J33</f>
        <v>0</v>
      </c>
      <c r="M33" s="312">
        <v>0</v>
      </c>
      <c r="N33" s="148"/>
    </row>
    <row r="34" spans="1:14" x14ac:dyDescent="0.35">
      <c r="A34" s="462"/>
      <c r="B34" s="56"/>
      <c r="C34" s="8"/>
      <c r="D34" s="8"/>
      <c r="E34" s="8"/>
      <c r="F34" s="13"/>
      <c r="G34" s="13"/>
      <c r="H34" s="103"/>
      <c r="I34" s="68"/>
      <c r="J34" s="95"/>
      <c r="K34" s="69"/>
      <c r="L34" s="69"/>
      <c r="M34" s="69"/>
      <c r="N34" s="148"/>
    </row>
    <row r="35" spans="1:14" ht="15.5" x14ac:dyDescent="0.35">
      <c r="A35" s="462"/>
      <c r="B35" s="76"/>
      <c r="C35" s="77"/>
      <c r="D35" s="77"/>
      <c r="E35" s="77"/>
      <c r="F35" s="30"/>
      <c r="G35" s="31"/>
      <c r="H35" s="32" t="s">
        <v>459</v>
      </c>
      <c r="I35" s="33"/>
      <c r="J35" s="98"/>
      <c r="K35" s="34"/>
      <c r="L35" s="137">
        <f>SUM(L27:L33)</f>
        <v>0</v>
      </c>
      <c r="M35" s="137">
        <f>SUM(M27:M33)</f>
        <v>0</v>
      </c>
      <c r="N35" s="148"/>
    </row>
    <row r="36" spans="1:14" x14ac:dyDescent="0.35">
      <c r="A36" s="462"/>
      <c r="B36" s="56"/>
      <c r="C36" s="8"/>
      <c r="D36" s="8"/>
      <c r="E36" s="8"/>
      <c r="F36" s="28"/>
      <c r="G36" s="28"/>
      <c r="H36" s="29"/>
      <c r="I36" s="29"/>
      <c r="J36" s="97"/>
      <c r="K36" s="29"/>
      <c r="L36" s="29"/>
      <c r="M36" s="29"/>
      <c r="N36" s="148"/>
    </row>
    <row r="37" spans="1:14" ht="18.5" x14ac:dyDescent="0.35">
      <c r="A37" s="462"/>
      <c r="B37" s="57">
        <v>276</v>
      </c>
      <c r="C37" s="35" t="s">
        <v>14</v>
      </c>
      <c r="D37" s="35" t="s">
        <v>158</v>
      </c>
      <c r="E37" s="40"/>
      <c r="F37" s="160" t="s">
        <v>162</v>
      </c>
      <c r="G37" s="161" t="s">
        <v>161</v>
      </c>
      <c r="H37" s="103" t="s">
        <v>665</v>
      </c>
      <c r="I37" s="68" t="s">
        <v>6</v>
      </c>
      <c r="J37" s="95">
        <v>1</v>
      </c>
      <c r="K37" s="312">
        <v>0</v>
      </c>
      <c r="L37" s="69">
        <f>K37*J37</f>
        <v>0</v>
      </c>
      <c r="M37" s="69"/>
      <c r="N37" s="148" t="s">
        <v>451</v>
      </c>
    </row>
    <row r="38" spans="1:14" ht="18.5" x14ac:dyDescent="0.35">
      <c r="A38" s="462"/>
      <c r="B38" s="56"/>
      <c r="C38" s="20"/>
      <c r="D38" s="20"/>
      <c r="E38" s="8"/>
      <c r="F38" s="13"/>
      <c r="G38" s="161"/>
      <c r="H38" s="103"/>
      <c r="I38" s="68"/>
      <c r="J38" s="95"/>
      <c r="K38" s="69"/>
      <c r="L38" s="69"/>
      <c r="M38" s="69"/>
      <c r="N38" s="148"/>
    </row>
    <row r="39" spans="1:14" ht="29" x14ac:dyDescent="0.35">
      <c r="A39" s="462"/>
      <c r="B39" s="56"/>
      <c r="C39" s="8"/>
      <c r="D39" s="8"/>
      <c r="E39" s="8"/>
      <c r="F39" s="13"/>
      <c r="G39" s="161" t="s">
        <v>17</v>
      </c>
      <c r="H39" s="213" t="s">
        <v>688</v>
      </c>
      <c r="I39" s="68" t="s">
        <v>5</v>
      </c>
      <c r="J39" s="95">
        <f>2*1.2+2*0.75</f>
        <v>3.9</v>
      </c>
      <c r="K39" s="312">
        <v>0</v>
      </c>
      <c r="L39" s="69">
        <f>K39*J39</f>
        <v>0</v>
      </c>
      <c r="M39" s="312">
        <v>0</v>
      </c>
      <c r="N39" s="148" t="s">
        <v>438</v>
      </c>
    </row>
    <row r="40" spans="1:14" x14ac:dyDescent="0.35">
      <c r="A40" s="462"/>
      <c r="B40" s="56"/>
      <c r="C40" s="8"/>
      <c r="D40" s="8"/>
      <c r="E40" s="8"/>
      <c r="F40" s="13"/>
      <c r="G40" s="161"/>
      <c r="H40" s="103" t="s">
        <v>666</v>
      </c>
      <c r="I40" s="68" t="s">
        <v>4</v>
      </c>
      <c r="J40" s="95">
        <f>0.5*0.7</f>
        <v>0.35</v>
      </c>
      <c r="K40" s="312">
        <v>0</v>
      </c>
      <c r="L40" s="69">
        <f>K40*J40</f>
        <v>0</v>
      </c>
      <c r="M40" s="312">
        <v>0</v>
      </c>
      <c r="N40" s="148" t="s">
        <v>371</v>
      </c>
    </row>
    <row r="41" spans="1:14" x14ac:dyDescent="0.35">
      <c r="A41" s="462"/>
      <c r="B41" s="56"/>
      <c r="C41" s="8"/>
      <c r="D41" s="8"/>
      <c r="E41" s="8"/>
      <c r="F41" s="13"/>
      <c r="G41" s="161"/>
      <c r="H41" s="103" t="s">
        <v>667</v>
      </c>
      <c r="I41" s="68" t="s">
        <v>4</v>
      </c>
      <c r="J41" s="95">
        <f>1.535*1.2</f>
        <v>1.8419999999999999</v>
      </c>
      <c r="K41" s="312">
        <v>0</v>
      </c>
      <c r="L41" s="69">
        <f>K41*J41</f>
        <v>0</v>
      </c>
      <c r="M41" s="312">
        <v>0</v>
      </c>
      <c r="N41" s="148" t="s">
        <v>371</v>
      </c>
    </row>
    <row r="42" spans="1:14" x14ac:dyDescent="0.35">
      <c r="A42" s="462"/>
      <c r="B42" s="56"/>
      <c r="C42" s="8"/>
      <c r="D42" s="8"/>
      <c r="E42" s="8"/>
      <c r="F42" s="13"/>
      <c r="G42" s="13"/>
      <c r="H42" s="103"/>
      <c r="I42" s="68"/>
      <c r="J42" s="95"/>
      <c r="K42" s="69"/>
      <c r="L42" s="69"/>
      <c r="M42" s="69"/>
      <c r="N42" s="148"/>
    </row>
    <row r="43" spans="1:14" ht="15.5" x14ac:dyDescent="0.35">
      <c r="A43" s="462"/>
      <c r="B43" s="76"/>
      <c r="C43" s="77"/>
      <c r="D43" s="77"/>
      <c r="E43" s="77"/>
      <c r="F43" s="30"/>
      <c r="G43" s="31"/>
      <c r="H43" s="32" t="s">
        <v>459</v>
      </c>
      <c r="I43" s="33"/>
      <c r="J43" s="98"/>
      <c r="K43" s="34"/>
      <c r="L43" s="137">
        <f>SUM(L37:L41)</f>
        <v>0</v>
      </c>
      <c r="M43" s="137">
        <f>SUM(M37:M41)</f>
        <v>0</v>
      </c>
      <c r="N43" s="148"/>
    </row>
    <row r="44" spans="1:14" ht="15" thickBot="1" x14ac:dyDescent="0.4">
      <c r="A44" s="462"/>
      <c r="B44" s="56"/>
      <c r="C44" s="8"/>
      <c r="D44" s="8"/>
      <c r="E44" s="8"/>
      <c r="F44" s="8"/>
      <c r="G44" s="8"/>
      <c r="H44" s="141"/>
      <c r="I44" s="141"/>
      <c r="J44" s="162"/>
      <c r="K44" s="141"/>
      <c r="L44" s="141"/>
      <c r="M44" s="141"/>
      <c r="N44" s="148"/>
    </row>
    <row r="45" spans="1:14" ht="19" thickBot="1" x14ac:dyDescent="0.4">
      <c r="A45" s="462"/>
      <c r="B45" s="453" t="s">
        <v>37</v>
      </c>
      <c r="C45" s="454"/>
      <c r="D45" s="454"/>
      <c r="E45" s="454"/>
      <c r="F45" s="454"/>
      <c r="G45" s="140"/>
      <c r="H45" s="140" t="s">
        <v>459</v>
      </c>
      <c r="I45" s="50"/>
      <c r="J45" s="94"/>
      <c r="K45" s="51"/>
      <c r="L45" s="52">
        <f>L43+L35</f>
        <v>0</v>
      </c>
      <c r="M45" s="53">
        <f>M43+M35</f>
        <v>0</v>
      </c>
      <c r="N45" s="148"/>
    </row>
    <row r="46" spans="1:14" ht="19" thickBot="1" x14ac:dyDescent="0.4">
      <c r="A46" s="463"/>
      <c r="B46" s="58"/>
      <c r="C46" s="21"/>
      <c r="D46" s="21"/>
      <c r="E46" s="14"/>
      <c r="F46" s="15"/>
      <c r="G46" s="15"/>
      <c r="H46" s="16"/>
      <c r="I46" s="17"/>
      <c r="J46" s="96"/>
      <c r="K46" s="277"/>
      <c r="L46" s="278"/>
      <c r="M46" s="276"/>
      <c r="N46" s="148"/>
    </row>
    <row r="47" spans="1:14" ht="18.5" x14ac:dyDescent="0.35">
      <c r="A47" s="476" t="s">
        <v>39</v>
      </c>
      <c r="B47" s="56"/>
      <c r="C47" s="20"/>
      <c r="D47" s="20"/>
      <c r="E47" s="8"/>
      <c r="F47" s="13"/>
      <c r="G47" s="13"/>
      <c r="H47" s="141"/>
      <c r="I47" s="68"/>
      <c r="J47" s="95"/>
      <c r="K47" s="69"/>
      <c r="L47" s="69"/>
      <c r="M47" s="69"/>
      <c r="N47" s="146"/>
    </row>
    <row r="48" spans="1:14" ht="18.75" customHeight="1" x14ac:dyDescent="0.35">
      <c r="A48" s="462"/>
      <c r="B48" s="57">
        <v>277</v>
      </c>
      <c r="C48" s="35" t="s">
        <v>38</v>
      </c>
      <c r="D48" s="35" t="s">
        <v>157</v>
      </c>
      <c r="E48" s="40"/>
      <c r="F48" s="160" t="s">
        <v>32</v>
      </c>
      <c r="G48" s="161"/>
      <c r="H48" s="103" t="s">
        <v>42</v>
      </c>
      <c r="I48" s="68" t="s">
        <v>4</v>
      </c>
      <c r="J48" s="95">
        <f>0.75*0.75</f>
        <v>0.5625</v>
      </c>
      <c r="K48" s="312">
        <v>0</v>
      </c>
      <c r="L48" s="69">
        <f>K48*J48</f>
        <v>0</v>
      </c>
      <c r="M48" s="312">
        <v>0</v>
      </c>
      <c r="N48" s="148"/>
    </row>
    <row r="49" spans="1:14" x14ac:dyDescent="0.35">
      <c r="A49" s="462"/>
      <c r="B49" s="56"/>
      <c r="C49" s="8"/>
      <c r="D49" s="8"/>
      <c r="E49" s="8"/>
      <c r="F49" s="13"/>
      <c r="G49" s="13"/>
      <c r="H49" s="103"/>
      <c r="I49" s="68"/>
      <c r="J49" s="95"/>
      <c r="K49" s="69"/>
      <c r="L49" s="69"/>
      <c r="M49" s="69"/>
      <c r="N49" s="148"/>
    </row>
    <row r="50" spans="1:14" ht="15.5" x14ac:dyDescent="0.35">
      <c r="A50" s="462"/>
      <c r="B50" s="76"/>
      <c r="C50" s="77"/>
      <c r="D50" s="77"/>
      <c r="E50" s="77"/>
      <c r="F50" s="30"/>
      <c r="G50" s="31"/>
      <c r="H50" s="32" t="s">
        <v>459</v>
      </c>
      <c r="I50" s="33"/>
      <c r="J50" s="98"/>
      <c r="K50" s="34"/>
      <c r="L50" s="137">
        <f>SUM(L48:L48)</f>
        <v>0</v>
      </c>
      <c r="M50" s="137">
        <f>SUM(M48:M48)</f>
        <v>0</v>
      </c>
      <c r="N50" s="148"/>
    </row>
    <row r="51" spans="1:14" ht="15" thickBot="1" x14ac:dyDescent="0.4">
      <c r="A51" s="462"/>
      <c r="B51" s="56"/>
      <c r="C51" s="8"/>
      <c r="D51" s="8"/>
      <c r="E51" s="8"/>
      <c r="F51" s="8"/>
      <c r="G51" s="8"/>
      <c r="H51" s="141"/>
      <c r="I51" s="141"/>
      <c r="J51" s="162"/>
      <c r="K51" s="141"/>
      <c r="L51" s="141"/>
      <c r="M51" s="141"/>
      <c r="N51" s="148"/>
    </row>
    <row r="52" spans="1:14" ht="19" thickBot="1" x14ac:dyDescent="0.4">
      <c r="A52" s="462"/>
      <c r="B52" s="453" t="s">
        <v>43</v>
      </c>
      <c r="C52" s="454"/>
      <c r="D52" s="454"/>
      <c r="E52" s="454"/>
      <c r="F52" s="454"/>
      <c r="G52" s="140"/>
      <c r="H52" s="140" t="s">
        <v>459</v>
      </c>
      <c r="I52" s="50"/>
      <c r="J52" s="94"/>
      <c r="K52" s="51"/>
      <c r="L52" s="52">
        <f>L50</f>
        <v>0</v>
      </c>
      <c r="M52" s="53">
        <f>M50</f>
        <v>0</v>
      </c>
      <c r="N52" s="148"/>
    </row>
    <row r="53" spans="1:14" ht="19" thickBot="1" x14ac:dyDescent="0.4">
      <c r="A53" s="462"/>
      <c r="B53" s="58"/>
      <c r="C53" s="21"/>
      <c r="D53" s="21"/>
      <c r="E53" s="14"/>
      <c r="F53" s="15"/>
      <c r="G53" s="15"/>
      <c r="H53" s="16"/>
      <c r="I53" s="17"/>
      <c r="J53" s="96"/>
      <c r="K53" s="277"/>
      <c r="L53" s="278"/>
      <c r="M53" s="276"/>
      <c r="N53" s="148"/>
    </row>
    <row r="54" spans="1:14" ht="18.5" x14ac:dyDescent="0.35">
      <c r="A54" s="469" t="s">
        <v>46</v>
      </c>
      <c r="B54" s="56"/>
      <c r="C54" s="20"/>
      <c r="D54" s="20"/>
      <c r="E54" s="8"/>
      <c r="F54" s="13"/>
      <c r="G54" s="13"/>
      <c r="H54" s="141"/>
      <c r="I54" s="68"/>
      <c r="J54" s="95"/>
      <c r="K54" s="69"/>
      <c r="L54" s="69"/>
      <c r="M54" s="69"/>
      <c r="N54" s="146"/>
    </row>
    <row r="55" spans="1:14" ht="18.5" x14ac:dyDescent="0.35">
      <c r="A55" s="470"/>
      <c r="B55" s="57">
        <v>278</v>
      </c>
      <c r="C55" s="35" t="s">
        <v>47</v>
      </c>
      <c r="D55" s="35" t="s">
        <v>157</v>
      </c>
      <c r="E55" s="40"/>
      <c r="F55" s="160" t="s">
        <v>179</v>
      </c>
      <c r="G55" s="161"/>
      <c r="H55" s="103"/>
      <c r="I55" s="68"/>
      <c r="J55" s="95"/>
      <c r="K55" s="69"/>
      <c r="L55" s="69"/>
      <c r="M55" s="69"/>
      <c r="N55" s="148"/>
    </row>
    <row r="56" spans="1:14" x14ac:dyDescent="0.35">
      <c r="A56" s="470"/>
      <c r="B56" s="56"/>
      <c r="C56" s="8"/>
      <c r="D56" s="8"/>
      <c r="E56" s="8"/>
      <c r="F56" s="13"/>
      <c r="G56" s="13"/>
      <c r="H56" s="103"/>
      <c r="I56" s="68"/>
      <c r="J56" s="95"/>
      <c r="K56" s="69"/>
      <c r="L56" s="69"/>
      <c r="M56" s="69"/>
      <c r="N56" s="148"/>
    </row>
    <row r="57" spans="1:14" ht="15.5" x14ac:dyDescent="0.35">
      <c r="A57" s="470"/>
      <c r="B57" s="76"/>
      <c r="C57" s="77"/>
      <c r="D57" s="77"/>
      <c r="E57" s="77"/>
      <c r="F57" s="30"/>
      <c r="G57" s="31"/>
      <c r="H57" s="32" t="s">
        <v>459</v>
      </c>
      <c r="I57" s="33"/>
      <c r="J57" s="98"/>
      <c r="K57" s="34"/>
      <c r="L57" s="137">
        <f>SUM(L55:L55)</f>
        <v>0</v>
      </c>
      <c r="M57" s="137">
        <f>SUM(M55:M55)</f>
        <v>0</v>
      </c>
      <c r="N57" s="148"/>
    </row>
    <row r="58" spans="1:14" ht="15" thickBot="1" x14ac:dyDescent="0.4">
      <c r="A58" s="470"/>
      <c r="B58" s="56"/>
      <c r="C58" s="8"/>
      <c r="D58" s="8"/>
      <c r="E58" s="8"/>
      <c r="F58" s="8"/>
      <c r="G58" s="8"/>
      <c r="H58" s="141"/>
      <c r="I58" s="141"/>
      <c r="J58" s="162"/>
      <c r="K58" s="141"/>
      <c r="L58" s="141"/>
      <c r="M58" s="141"/>
      <c r="N58" s="148"/>
    </row>
    <row r="59" spans="1:14" ht="19" thickBot="1" x14ac:dyDescent="0.4">
      <c r="A59" s="470"/>
      <c r="B59" s="453" t="s">
        <v>45</v>
      </c>
      <c r="C59" s="454"/>
      <c r="D59" s="454"/>
      <c r="E59" s="454"/>
      <c r="F59" s="454"/>
      <c r="G59" s="140"/>
      <c r="H59" s="140" t="s">
        <v>459</v>
      </c>
      <c r="I59" s="50"/>
      <c r="J59" s="94"/>
      <c r="K59" s="51"/>
      <c r="L59" s="52">
        <f>L57</f>
        <v>0</v>
      </c>
      <c r="M59" s="53">
        <f>M57</f>
        <v>0</v>
      </c>
      <c r="N59" s="148"/>
    </row>
    <row r="60" spans="1:14" ht="19" thickBot="1" x14ac:dyDescent="0.4">
      <c r="A60" s="471"/>
      <c r="B60" s="58"/>
      <c r="C60" s="21"/>
      <c r="D60" s="21"/>
      <c r="E60" s="14"/>
      <c r="F60" s="15"/>
      <c r="G60" s="15"/>
      <c r="H60" s="16"/>
      <c r="I60" s="17"/>
      <c r="J60" s="96"/>
      <c r="K60" s="277"/>
      <c r="L60" s="278"/>
      <c r="M60" s="276"/>
      <c r="N60" s="149"/>
    </row>
    <row r="61" spans="1:14" s="75" customFormat="1" ht="18.5" x14ac:dyDescent="0.35">
      <c r="A61" s="472" t="s">
        <v>59</v>
      </c>
      <c r="B61" s="249"/>
      <c r="C61" s="250"/>
      <c r="D61" s="250"/>
      <c r="E61" s="251"/>
      <c r="F61" s="217"/>
      <c r="G61" s="217"/>
      <c r="H61" s="229"/>
      <c r="I61" s="211"/>
      <c r="J61" s="212"/>
      <c r="K61" s="220"/>
      <c r="L61" s="220"/>
      <c r="M61" s="220"/>
      <c r="N61" s="219"/>
    </row>
    <row r="62" spans="1:14" s="75" customFormat="1" ht="58" x14ac:dyDescent="0.35">
      <c r="A62" s="473"/>
      <c r="B62" s="57">
        <v>279</v>
      </c>
      <c r="C62" s="35" t="s">
        <v>60</v>
      </c>
      <c r="D62" s="35" t="s">
        <v>157</v>
      </c>
      <c r="E62" s="40"/>
      <c r="F62" s="160" t="s">
        <v>387</v>
      </c>
      <c r="G62" s="216" t="s">
        <v>73</v>
      </c>
      <c r="H62" s="228" t="s">
        <v>624</v>
      </c>
      <c r="I62" s="211" t="s">
        <v>6</v>
      </c>
      <c r="J62" s="212">
        <v>1</v>
      </c>
      <c r="K62" s="312">
        <v>0</v>
      </c>
      <c r="L62" s="220">
        <f>K62*J62</f>
        <v>0</v>
      </c>
      <c r="M62" s="312">
        <v>0</v>
      </c>
      <c r="N62" s="219" t="s">
        <v>717</v>
      </c>
    </row>
    <row r="63" spans="1:14" s="105" customFormat="1" ht="18.5" x14ac:dyDescent="0.35">
      <c r="A63" s="473"/>
      <c r="B63" s="249"/>
      <c r="C63" s="250"/>
      <c r="D63" s="250"/>
      <c r="E63" s="251"/>
      <c r="F63" s="217"/>
      <c r="G63" s="216"/>
      <c r="H63" s="228" t="s">
        <v>64</v>
      </c>
      <c r="I63" s="211" t="s">
        <v>6</v>
      </c>
      <c r="J63" s="212">
        <v>1</v>
      </c>
      <c r="K63" s="312">
        <v>0</v>
      </c>
      <c r="L63" s="220">
        <f>K63*J63</f>
        <v>0</v>
      </c>
      <c r="M63" s="312">
        <v>0</v>
      </c>
      <c r="N63" s="219" t="s">
        <v>571</v>
      </c>
    </row>
    <row r="64" spans="1:14" s="75" customFormat="1" ht="38.5" customHeight="1" x14ac:dyDescent="0.35">
      <c r="A64" s="473"/>
      <c r="B64" s="249"/>
      <c r="C64" s="259"/>
      <c r="D64" s="259"/>
      <c r="E64" s="251"/>
      <c r="F64" s="241"/>
      <c r="G64" s="216"/>
      <c r="H64" s="228" t="s">
        <v>396</v>
      </c>
      <c r="I64" s="211" t="s">
        <v>6</v>
      </c>
      <c r="J64" s="212">
        <v>1</v>
      </c>
      <c r="K64" s="312">
        <v>0</v>
      </c>
      <c r="L64" s="220">
        <f>K64*J64</f>
        <v>0</v>
      </c>
      <c r="M64" s="312">
        <v>0</v>
      </c>
      <c r="N64" s="219" t="s">
        <v>566</v>
      </c>
    </row>
    <row r="65" spans="1:14" s="75" customFormat="1" ht="18.5" x14ac:dyDescent="0.35">
      <c r="A65" s="473"/>
      <c r="B65" s="249"/>
      <c r="C65" s="259"/>
      <c r="D65" s="259"/>
      <c r="E65" s="251"/>
      <c r="F65" s="241"/>
      <c r="G65" s="216"/>
      <c r="H65" s="228" t="s">
        <v>299</v>
      </c>
      <c r="I65" s="211" t="s">
        <v>6</v>
      </c>
      <c r="J65" s="212">
        <v>2</v>
      </c>
      <c r="K65" s="312">
        <v>0</v>
      </c>
      <c r="L65" s="220">
        <f>K65*J65</f>
        <v>0</v>
      </c>
      <c r="M65" s="312">
        <v>0</v>
      </c>
      <c r="N65" s="219" t="s">
        <v>669</v>
      </c>
    </row>
    <row r="66" spans="1:14" s="75" customFormat="1" ht="18.5" x14ac:dyDescent="0.35">
      <c r="A66" s="473"/>
      <c r="B66" s="249"/>
      <c r="C66" s="259"/>
      <c r="D66" s="259"/>
      <c r="E66" s="251"/>
      <c r="F66" s="241"/>
      <c r="G66" s="216"/>
      <c r="H66" s="228"/>
      <c r="I66" s="211"/>
      <c r="J66" s="212"/>
      <c r="K66" s="220"/>
      <c r="L66" s="220"/>
      <c r="M66" s="220"/>
      <c r="N66" s="219"/>
    </row>
    <row r="67" spans="1:14" s="75" customFormat="1" x14ac:dyDescent="0.35">
      <c r="A67" s="473"/>
      <c r="B67" s="249"/>
      <c r="C67" s="251"/>
      <c r="D67" s="251"/>
      <c r="E67" s="251"/>
      <c r="F67" s="217"/>
      <c r="G67" s="217" t="s">
        <v>74</v>
      </c>
      <c r="H67" s="228" t="s">
        <v>300</v>
      </c>
      <c r="I67" s="211" t="s">
        <v>279</v>
      </c>
      <c r="J67" s="212">
        <v>8</v>
      </c>
      <c r="K67" s="312">
        <v>0</v>
      </c>
      <c r="L67" s="229"/>
      <c r="M67" s="220">
        <f>K67*J67</f>
        <v>0</v>
      </c>
      <c r="N67" s="219"/>
    </row>
    <row r="68" spans="1:14" s="75" customFormat="1" x14ac:dyDescent="0.35">
      <c r="A68" s="473"/>
      <c r="B68" s="249"/>
      <c r="C68" s="251"/>
      <c r="D68" s="251"/>
      <c r="E68" s="251"/>
      <c r="F68" s="217"/>
      <c r="G68" s="217"/>
      <c r="H68" s="228" t="s">
        <v>82</v>
      </c>
      <c r="I68" s="211" t="s">
        <v>279</v>
      </c>
      <c r="J68" s="212">
        <v>5</v>
      </c>
      <c r="K68" s="312">
        <v>0</v>
      </c>
      <c r="L68" s="229"/>
      <c r="M68" s="220">
        <f>K68*J68</f>
        <v>0</v>
      </c>
      <c r="N68" s="219"/>
    </row>
    <row r="69" spans="1:14" s="75" customFormat="1" ht="29" x14ac:dyDescent="0.35">
      <c r="A69" s="473"/>
      <c r="B69" s="249"/>
      <c r="C69" s="251"/>
      <c r="D69" s="251"/>
      <c r="E69" s="251"/>
      <c r="F69" s="217"/>
      <c r="G69" s="217"/>
      <c r="H69" s="224" t="s">
        <v>734</v>
      </c>
      <c r="I69" s="211" t="s">
        <v>279</v>
      </c>
      <c r="J69" s="212">
        <v>2</v>
      </c>
      <c r="K69" s="312">
        <v>0</v>
      </c>
      <c r="L69" s="229"/>
      <c r="M69" s="220">
        <f>K69*J69</f>
        <v>0</v>
      </c>
      <c r="N69" s="219"/>
    </row>
    <row r="70" spans="1:14" s="75" customFormat="1" x14ac:dyDescent="0.35">
      <c r="A70" s="473"/>
      <c r="B70" s="249"/>
      <c r="C70" s="251"/>
      <c r="D70" s="251"/>
      <c r="E70" s="251"/>
      <c r="F70" s="217"/>
      <c r="G70" s="217"/>
      <c r="H70" s="228"/>
      <c r="I70" s="211"/>
      <c r="J70" s="212"/>
      <c r="K70" s="220"/>
      <c r="L70" s="220"/>
      <c r="M70" s="220"/>
      <c r="N70" s="219"/>
    </row>
    <row r="71" spans="1:14" s="75" customFormat="1" ht="15.5" x14ac:dyDescent="0.35">
      <c r="A71" s="473"/>
      <c r="B71" s="260"/>
      <c r="C71" s="261"/>
      <c r="D71" s="261"/>
      <c r="E71" s="261"/>
      <c r="F71" s="262"/>
      <c r="G71" s="255"/>
      <c r="H71" s="234" t="s">
        <v>459</v>
      </c>
      <c r="I71" s="256"/>
      <c r="J71" s="257"/>
      <c r="K71" s="258"/>
      <c r="L71" s="137">
        <f>SUM(L62:L69)</f>
        <v>0</v>
      </c>
      <c r="M71" s="137">
        <f>SUM(M62:M69)</f>
        <v>0</v>
      </c>
      <c r="N71" s="219"/>
    </row>
    <row r="72" spans="1:14" s="135" customFormat="1" x14ac:dyDescent="0.35">
      <c r="A72" s="473"/>
      <c r="B72" s="249"/>
      <c r="C72" s="251"/>
      <c r="D72" s="251"/>
      <c r="E72" s="251"/>
      <c r="F72" s="263"/>
      <c r="G72" s="263"/>
      <c r="H72" s="240"/>
      <c r="I72" s="211"/>
      <c r="J72" s="212"/>
      <c r="K72" s="220"/>
      <c r="L72" s="240"/>
      <c r="M72" s="240"/>
      <c r="N72" s="253"/>
    </row>
    <row r="73" spans="1:14" s="135" customFormat="1" ht="18.5" x14ac:dyDescent="0.35">
      <c r="A73" s="473"/>
      <c r="B73" s="57">
        <v>280</v>
      </c>
      <c r="C73" s="35" t="s">
        <v>60</v>
      </c>
      <c r="D73" s="35" t="s">
        <v>158</v>
      </c>
      <c r="E73" s="40"/>
      <c r="F73" s="160" t="s">
        <v>428</v>
      </c>
      <c r="G73" s="216" t="s">
        <v>73</v>
      </c>
      <c r="H73" s="228" t="s">
        <v>429</v>
      </c>
      <c r="I73" s="211" t="s">
        <v>6</v>
      </c>
      <c r="J73" s="212">
        <v>1</v>
      </c>
      <c r="K73" s="312">
        <v>0</v>
      </c>
      <c r="L73" s="220">
        <f>K73*J73</f>
        <v>0</v>
      </c>
      <c r="M73" s="312">
        <v>0</v>
      </c>
      <c r="N73" s="253"/>
    </row>
    <row r="74" spans="1:14" s="135" customFormat="1" x14ac:dyDescent="0.35">
      <c r="A74" s="473"/>
      <c r="B74" s="249"/>
      <c r="C74" s="251"/>
      <c r="D74" s="251"/>
      <c r="E74" s="251"/>
      <c r="F74" s="217"/>
      <c r="G74" s="217"/>
      <c r="H74" s="228"/>
      <c r="I74" s="211"/>
      <c r="J74" s="212"/>
      <c r="K74" s="220"/>
      <c r="L74" s="220"/>
      <c r="M74" s="220"/>
      <c r="N74" s="219"/>
    </row>
    <row r="75" spans="1:14" s="135" customFormat="1" ht="15.5" x14ac:dyDescent="0.35">
      <c r="A75" s="473"/>
      <c r="B75" s="260"/>
      <c r="C75" s="261"/>
      <c r="D75" s="261"/>
      <c r="E75" s="261"/>
      <c r="F75" s="262"/>
      <c r="G75" s="255"/>
      <c r="H75" s="234" t="s">
        <v>459</v>
      </c>
      <c r="I75" s="256"/>
      <c r="J75" s="257"/>
      <c r="K75" s="258"/>
      <c r="L75" s="137">
        <f>SUM(L73)</f>
        <v>0</v>
      </c>
      <c r="M75" s="137">
        <f>SUM(M73)</f>
        <v>0</v>
      </c>
      <c r="N75" s="219"/>
    </row>
    <row r="76" spans="1:14" s="75" customFormat="1" ht="15" thickBot="1" x14ac:dyDescent="0.4">
      <c r="A76" s="473"/>
      <c r="B76" s="249"/>
      <c r="C76" s="251"/>
      <c r="D76" s="251"/>
      <c r="E76" s="251"/>
      <c r="F76" s="251"/>
      <c r="G76" s="251"/>
      <c r="H76" s="229"/>
      <c r="I76" s="229"/>
      <c r="J76" s="268"/>
      <c r="K76" s="229"/>
      <c r="L76" s="229"/>
      <c r="M76" s="229"/>
      <c r="N76" s="219"/>
    </row>
    <row r="77" spans="1:14" s="75" customFormat="1" ht="19" thickBot="1" x14ac:dyDescent="0.4">
      <c r="A77" s="473"/>
      <c r="B77" s="453" t="s">
        <v>56</v>
      </c>
      <c r="C77" s="454"/>
      <c r="D77" s="454"/>
      <c r="E77" s="454"/>
      <c r="F77" s="454"/>
      <c r="G77" s="140"/>
      <c r="H77" s="140" t="s">
        <v>459</v>
      </c>
      <c r="I77" s="50"/>
      <c r="J77" s="94"/>
      <c r="K77" s="51"/>
      <c r="L77" s="52">
        <f>L71+L75</f>
        <v>0</v>
      </c>
      <c r="M77" s="53">
        <f>M71+M75</f>
        <v>0</v>
      </c>
      <c r="N77" s="219"/>
    </row>
    <row r="78" spans="1:14" ht="19" thickBot="1" x14ac:dyDescent="0.4">
      <c r="A78" s="474"/>
      <c r="B78" s="58"/>
      <c r="C78" s="21"/>
      <c r="D78" s="21"/>
      <c r="E78" s="14"/>
      <c r="F78" s="15"/>
      <c r="G78" s="15"/>
      <c r="H78" s="16"/>
      <c r="I78" s="17"/>
      <c r="J78" s="96"/>
      <c r="K78" s="277"/>
      <c r="L78" s="278"/>
      <c r="M78" s="276"/>
      <c r="N78" s="254"/>
    </row>
    <row r="79" spans="1:14" ht="18.5" x14ac:dyDescent="0.35">
      <c r="A79" s="469" t="s">
        <v>71</v>
      </c>
      <c r="B79" s="56"/>
      <c r="C79" s="20"/>
      <c r="D79" s="20"/>
      <c r="E79" s="8"/>
      <c r="F79" s="13"/>
      <c r="G79" s="13"/>
      <c r="H79" s="141"/>
      <c r="I79" s="68"/>
      <c r="J79" s="95"/>
      <c r="K79" s="69"/>
      <c r="L79" s="69"/>
      <c r="M79" s="69"/>
      <c r="N79" s="146"/>
    </row>
    <row r="80" spans="1:14" ht="18.75" customHeight="1" x14ac:dyDescent="0.35">
      <c r="A80" s="470"/>
      <c r="B80" s="57"/>
      <c r="C80" s="35" t="s">
        <v>72</v>
      </c>
      <c r="D80" s="35" t="s">
        <v>163</v>
      </c>
      <c r="E80" s="40"/>
      <c r="F80" s="160" t="s">
        <v>714</v>
      </c>
      <c r="G80" s="161"/>
      <c r="H80" s="103"/>
      <c r="I80" s="68"/>
      <c r="J80" s="95"/>
      <c r="K80" s="69"/>
      <c r="L80" s="69"/>
      <c r="M80" s="69"/>
      <c r="N80" s="148"/>
    </row>
    <row r="81" spans="1:14" ht="18.75" customHeight="1" x14ac:dyDescent="0.35">
      <c r="A81" s="470"/>
      <c r="B81" s="249"/>
      <c r="C81" s="259"/>
      <c r="D81" s="259"/>
      <c r="E81" s="251"/>
      <c r="F81" s="241"/>
      <c r="G81" s="161"/>
      <c r="H81" s="103"/>
      <c r="I81" s="68"/>
      <c r="J81" s="95"/>
      <c r="K81" s="69"/>
      <c r="L81" s="69"/>
      <c r="M81" s="69"/>
      <c r="N81" s="148"/>
    </row>
    <row r="82" spans="1:14" ht="15.5" x14ac:dyDescent="0.35">
      <c r="A82" s="470"/>
      <c r="B82" s="260"/>
      <c r="C82" s="261"/>
      <c r="D82" s="261"/>
      <c r="E82" s="261"/>
      <c r="F82" s="262"/>
      <c r="G82" s="31"/>
      <c r="H82" s="32" t="s">
        <v>459</v>
      </c>
      <c r="I82" s="33"/>
      <c r="J82" s="98"/>
      <c r="K82" s="34"/>
      <c r="L82" s="137">
        <f>SUM(L80)</f>
        <v>0</v>
      </c>
      <c r="M82" s="137">
        <f>SUM(M80)</f>
        <v>0</v>
      </c>
      <c r="N82" s="148"/>
    </row>
    <row r="83" spans="1:14" ht="15" thickBot="1" x14ac:dyDescent="0.4">
      <c r="A83" s="470"/>
      <c r="B83" s="56"/>
      <c r="C83" s="8"/>
      <c r="D83" s="8"/>
      <c r="E83" s="8"/>
      <c r="F83" s="8"/>
      <c r="G83" s="8"/>
      <c r="H83" s="141"/>
      <c r="I83" s="141"/>
      <c r="J83" s="162"/>
      <c r="K83" s="141"/>
      <c r="L83" s="141"/>
      <c r="M83" s="141"/>
      <c r="N83" s="148"/>
    </row>
    <row r="84" spans="1:14" ht="19" thickBot="1" x14ac:dyDescent="0.4">
      <c r="A84" s="470"/>
      <c r="B84" s="453" t="s">
        <v>57</v>
      </c>
      <c r="C84" s="454"/>
      <c r="D84" s="454"/>
      <c r="E84" s="454"/>
      <c r="F84" s="454"/>
      <c r="G84" s="140"/>
      <c r="H84" s="140" t="s">
        <v>459</v>
      </c>
      <c r="I84" s="50"/>
      <c r="J84" s="94"/>
      <c r="K84" s="51"/>
      <c r="L84" s="52">
        <f>L82</f>
        <v>0</v>
      </c>
      <c r="M84" s="53">
        <f>M82</f>
        <v>0</v>
      </c>
      <c r="N84" s="148"/>
    </row>
    <row r="85" spans="1:14" ht="19" thickBot="1" x14ac:dyDescent="0.4">
      <c r="A85" s="471"/>
      <c r="B85" s="58"/>
      <c r="C85" s="21"/>
      <c r="D85" s="21"/>
      <c r="E85" s="14"/>
      <c r="F85" s="15"/>
      <c r="G85" s="15"/>
      <c r="H85" s="16"/>
      <c r="I85" s="17"/>
      <c r="J85" s="96"/>
      <c r="K85" s="277"/>
      <c r="L85" s="278"/>
      <c r="M85" s="276"/>
      <c r="N85" s="149"/>
    </row>
    <row r="86" spans="1:14" x14ac:dyDescent="0.35">
      <c r="A86" s="78"/>
      <c r="J86" s="99"/>
    </row>
    <row r="87" spans="1:14" x14ac:dyDescent="0.35">
      <c r="A87" s="78"/>
      <c r="J87" s="99"/>
    </row>
    <row r="88" spans="1:14" x14ac:dyDescent="0.35">
      <c r="A88" s="78"/>
      <c r="J88" s="99"/>
    </row>
    <row r="89" spans="1:14" x14ac:dyDescent="0.35">
      <c r="A89" s="78"/>
      <c r="J89" s="99"/>
    </row>
    <row r="90" spans="1:14" x14ac:dyDescent="0.35">
      <c r="A90" s="78"/>
      <c r="J90" s="99"/>
    </row>
    <row r="91" spans="1:14" x14ac:dyDescent="0.35">
      <c r="A91" s="78"/>
      <c r="J91" s="99"/>
    </row>
    <row r="92" spans="1:14" x14ac:dyDescent="0.35">
      <c r="A92" s="78"/>
      <c r="J92" s="99"/>
    </row>
    <row r="93" spans="1:14" x14ac:dyDescent="0.35">
      <c r="A93" s="78"/>
      <c r="J93" s="99"/>
    </row>
    <row r="94" spans="1:14" x14ac:dyDescent="0.35">
      <c r="A94" s="78"/>
      <c r="J94" s="99"/>
    </row>
    <row r="95" spans="1:14" x14ac:dyDescent="0.35">
      <c r="A95" s="78"/>
      <c r="J95" s="99"/>
    </row>
    <row r="96" spans="1:14" x14ac:dyDescent="0.35">
      <c r="A96" s="78"/>
      <c r="J96" s="99"/>
    </row>
    <row r="97" spans="1:10" x14ac:dyDescent="0.35">
      <c r="A97" s="78"/>
      <c r="J97" s="99"/>
    </row>
    <row r="98" spans="1:10" x14ac:dyDescent="0.35">
      <c r="A98" s="78"/>
      <c r="J98" s="99"/>
    </row>
    <row r="99" spans="1:10" x14ac:dyDescent="0.35">
      <c r="A99" s="78"/>
      <c r="J99" s="99"/>
    </row>
    <row r="100" spans="1:10" x14ac:dyDescent="0.35">
      <c r="A100" s="78"/>
      <c r="J100" s="99"/>
    </row>
    <row r="101" spans="1:10" x14ac:dyDescent="0.35">
      <c r="A101" s="78"/>
      <c r="J101" s="99"/>
    </row>
    <row r="102" spans="1:10" x14ac:dyDescent="0.35">
      <c r="A102" s="78"/>
      <c r="J102" s="99"/>
    </row>
    <row r="103" spans="1:10" x14ac:dyDescent="0.35">
      <c r="A103" s="78"/>
      <c r="J103" s="99"/>
    </row>
    <row r="104" spans="1:10" x14ac:dyDescent="0.35">
      <c r="A104" s="78"/>
      <c r="J104" s="99"/>
    </row>
    <row r="105" spans="1:10" x14ac:dyDescent="0.35">
      <c r="A105" s="78"/>
      <c r="J105" s="99"/>
    </row>
    <row r="106" spans="1:10" x14ac:dyDescent="0.35">
      <c r="A106" s="78"/>
      <c r="J106" s="99"/>
    </row>
    <row r="107" spans="1:10" x14ac:dyDescent="0.35">
      <c r="A107" s="78"/>
      <c r="J107" s="99"/>
    </row>
    <row r="108" spans="1:10" x14ac:dyDescent="0.35">
      <c r="A108" s="78"/>
      <c r="J108" s="99"/>
    </row>
    <row r="109" spans="1:10" x14ac:dyDescent="0.35">
      <c r="A109" s="78"/>
      <c r="J109" s="99"/>
    </row>
    <row r="110" spans="1:10" x14ac:dyDescent="0.35">
      <c r="A110" s="78"/>
      <c r="J110" s="99"/>
    </row>
    <row r="111" spans="1:10" x14ac:dyDescent="0.35">
      <c r="A111" s="78"/>
      <c r="J111" s="99"/>
    </row>
    <row r="112" spans="1:10" x14ac:dyDescent="0.35">
      <c r="A112" s="78"/>
      <c r="J112" s="99"/>
    </row>
    <row r="113" spans="1:10" x14ac:dyDescent="0.35">
      <c r="A113" s="78"/>
      <c r="J113" s="99"/>
    </row>
    <row r="114" spans="1:10" x14ac:dyDescent="0.35">
      <c r="A114" s="78"/>
      <c r="J114" s="99"/>
    </row>
    <row r="115" spans="1:10" x14ac:dyDescent="0.35">
      <c r="A115" s="78"/>
      <c r="J115" s="99"/>
    </row>
    <row r="116" spans="1:10" x14ac:dyDescent="0.35">
      <c r="A116" s="78"/>
      <c r="J116" s="99"/>
    </row>
    <row r="117" spans="1:10" x14ac:dyDescent="0.35">
      <c r="A117" s="78"/>
      <c r="J117" s="99"/>
    </row>
    <row r="118" spans="1:10" x14ac:dyDescent="0.35">
      <c r="A118" s="78"/>
      <c r="J118" s="99"/>
    </row>
    <row r="119" spans="1:10" x14ac:dyDescent="0.35">
      <c r="A119" s="78"/>
      <c r="J119" s="99"/>
    </row>
    <row r="120" spans="1:10" x14ac:dyDescent="0.35">
      <c r="A120" s="78"/>
      <c r="J120" s="99"/>
    </row>
    <row r="121" spans="1:10" x14ac:dyDescent="0.35">
      <c r="A121" s="78"/>
      <c r="J121" s="99"/>
    </row>
    <row r="122" spans="1:10" x14ac:dyDescent="0.35">
      <c r="A122" s="78"/>
      <c r="J122" s="99"/>
    </row>
    <row r="123" spans="1:10" x14ac:dyDescent="0.35">
      <c r="A123" s="78"/>
      <c r="J123" s="99"/>
    </row>
    <row r="124" spans="1:10" x14ac:dyDescent="0.35">
      <c r="A124" s="78"/>
      <c r="J124" s="99"/>
    </row>
    <row r="125" spans="1:10" x14ac:dyDescent="0.35">
      <c r="A125" s="78"/>
      <c r="J125" s="99"/>
    </row>
    <row r="126" spans="1:10" x14ac:dyDescent="0.35">
      <c r="A126" s="78"/>
      <c r="J126" s="99"/>
    </row>
    <row r="127" spans="1:10" x14ac:dyDescent="0.35">
      <c r="A127" s="78"/>
      <c r="J127" s="99"/>
    </row>
    <row r="128" spans="1:10" x14ac:dyDescent="0.35">
      <c r="A128" s="78"/>
      <c r="J128" s="99"/>
    </row>
    <row r="129" spans="1:10" x14ac:dyDescent="0.35">
      <c r="A129" s="78"/>
      <c r="J129" s="99"/>
    </row>
    <row r="130" spans="1:10" x14ac:dyDescent="0.35">
      <c r="A130" s="78"/>
      <c r="J130" s="99"/>
    </row>
  </sheetData>
  <sheetProtection sheet="1" objects="1" scenarios="1"/>
  <mergeCells count="22">
    <mergeCell ref="A10:G10"/>
    <mergeCell ref="F14:G14"/>
    <mergeCell ref="B45:F45"/>
    <mergeCell ref="A2:N2"/>
    <mergeCell ref="A5:G5"/>
    <mergeCell ref="A6:G6"/>
    <mergeCell ref="A7:G7"/>
    <mergeCell ref="A8:G8"/>
    <mergeCell ref="A9:G9"/>
    <mergeCell ref="C14:D14"/>
    <mergeCell ref="A11:K11"/>
    <mergeCell ref="A79:A85"/>
    <mergeCell ref="B84:F84"/>
    <mergeCell ref="B24:F24"/>
    <mergeCell ref="B52:F52"/>
    <mergeCell ref="A54:A60"/>
    <mergeCell ref="B59:F59"/>
    <mergeCell ref="A61:A78"/>
    <mergeCell ref="B77:F77"/>
    <mergeCell ref="A16:A25"/>
    <mergeCell ref="A47:A53"/>
    <mergeCell ref="A26:A46"/>
  </mergeCells>
  <pageMargins left="0.23622047244094491" right="0.23622047244094491" top="0.19685039370078741" bottom="0.31496062992125984" header="0.15748031496062992" footer="0.15748031496062992"/>
  <pageSetup paperSize="9" scale="43" firstPageNumber="42" fitToHeight="0" orientation="landscape" useFirstPageNumber="1" horizontalDpi="1200" verticalDpi="1200" r:id="rId1"/>
  <headerFooter>
    <oddFooter>&amp;C&amp;P/43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74"/>
  <sheetViews>
    <sheetView view="pageLayout" topLeftCell="A145" zoomScale="40" zoomScaleNormal="55" zoomScalePageLayoutView="40" workbookViewId="0">
      <selection activeCell="L166" sqref="L166"/>
    </sheetView>
  </sheetViews>
  <sheetFormatPr defaultColWidth="9.1796875" defaultRowHeight="14.5" x14ac:dyDescent="0.35"/>
  <cols>
    <col min="1" max="1" width="5" style="104" customWidth="1"/>
    <col min="2" max="2" width="5.7265625" style="54" customWidth="1"/>
    <col min="3" max="3" width="5.81640625" style="6" customWidth="1"/>
    <col min="4" max="4" width="7" style="6" customWidth="1"/>
    <col min="5" max="5" width="3.7265625" style="6" customWidth="1"/>
    <col min="6" max="6" width="50.7265625" style="6" customWidth="1"/>
    <col min="7" max="7" width="20.26953125" style="6" customWidth="1"/>
    <col min="8" max="8" width="55.7265625" style="104" customWidth="1"/>
    <col min="9" max="11" width="13.7265625" style="104" customWidth="1"/>
    <col min="12" max="13" width="23.7265625" style="104" customWidth="1"/>
    <col min="14" max="14" width="85.7265625" style="104" customWidth="1"/>
    <col min="15" max="15" width="50.453125" style="104" customWidth="1"/>
    <col min="16" max="16384" width="9.1796875" style="104"/>
  </cols>
  <sheetData>
    <row r="1" spans="1:14" s="135" customFormat="1" ht="15" thickBot="1" x14ac:dyDescent="0.4">
      <c r="B1" s="138"/>
      <c r="C1" s="136"/>
      <c r="D1" s="136"/>
      <c r="E1" s="136"/>
      <c r="F1" s="136"/>
      <c r="G1" s="136"/>
    </row>
    <row r="2" spans="1:14" s="135" customFormat="1" ht="26.5" thickBot="1" x14ac:dyDescent="0.4">
      <c r="A2" s="422" t="s">
        <v>762</v>
      </c>
      <c r="B2" s="423"/>
      <c r="C2" s="423"/>
      <c r="D2" s="423"/>
      <c r="E2" s="423"/>
      <c r="F2" s="423"/>
      <c r="G2" s="423"/>
      <c r="H2" s="423"/>
      <c r="I2" s="423"/>
      <c r="J2" s="423"/>
      <c r="K2" s="423"/>
      <c r="L2" s="423"/>
      <c r="M2" s="423"/>
      <c r="N2" s="424"/>
    </row>
    <row r="3" spans="1:14" s="135" customFormat="1" x14ac:dyDescent="0.35">
      <c r="B3" s="138"/>
      <c r="C3" s="136"/>
      <c r="D3" s="136"/>
      <c r="E3" s="136"/>
      <c r="F3" s="136"/>
      <c r="G3" s="136"/>
    </row>
    <row r="4" spans="1:14" s="135" customFormat="1" ht="19" thickBot="1" x14ac:dyDescent="0.4">
      <c r="A4" s="425" t="s">
        <v>419</v>
      </c>
      <c r="B4" s="426"/>
      <c r="C4" s="426"/>
      <c r="D4" s="426"/>
      <c r="E4" s="136"/>
      <c r="F4" s="136"/>
      <c r="G4" s="136"/>
    </row>
    <row r="5" spans="1:14" s="135" customFormat="1" ht="36" customHeight="1" x14ac:dyDescent="0.35">
      <c r="A5" s="427" t="s">
        <v>483</v>
      </c>
      <c r="B5" s="428"/>
      <c r="C5" s="428"/>
      <c r="D5" s="428"/>
      <c r="E5" s="334"/>
      <c r="F5" s="429" t="s">
        <v>672</v>
      </c>
      <c r="G5" s="430"/>
      <c r="H5" s="430"/>
      <c r="I5" s="431"/>
      <c r="J5" s="432"/>
      <c r="K5" s="433"/>
      <c r="L5" s="433"/>
      <c r="M5" s="183"/>
      <c r="N5" s="184"/>
    </row>
    <row r="6" spans="1:14" s="135" customFormat="1" ht="18.5" x14ac:dyDescent="0.35">
      <c r="A6" s="335"/>
      <c r="B6" s="336"/>
      <c r="C6" s="308"/>
      <c r="D6" s="308"/>
      <c r="E6" s="250"/>
      <c r="F6" s="250"/>
      <c r="G6" s="250"/>
      <c r="H6" s="337"/>
      <c r="I6" s="179"/>
      <c r="J6" s="179"/>
      <c r="K6" s="179"/>
      <c r="L6" s="179"/>
      <c r="M6" s="179"/>
      <c r="N6" s="186"/>
    </row>
    <row r="7" spans="1:14" s="135" customFormat="1" ht="18.5" x14ac:dyDescent="0.35">
      <c r="A7" s="413" t="s">
        <v>409</v>
      </c>
      <c r="B7" s="414"/>
      <c r="C7" s="414"/>
      <c r="D7" s="414"/>
      <c r="E7" s="250"/>
      <c r="F7" s="338" t="s">
        <v>764</v>
      </c>
      <c r="G7" s="250" t="s">
        <v>423</v>
      </c>
      <c r="H7" s="339" t="s">
        <v>657</v>
      </c>
      <c r="I7" s="415" t="s">
        <v>418</v>
      </c>
      <c r="J7" s="415"/>
      <c r="K7" s="416" t="s">
        <v>417</v>
      </c>
      <c r="L7" s="415"/>
      <c r="M7" s="179"/>
      <c r="N7" s="186"/>
    </row>
    <row r="8" spans="1:14" s="135" customFormat="1" ht="18.5" x14ac:dyDescent="0.35">
      <c r="A8" s="325"/>
      <c r="B8" s="340"/>
      <c r="C8" s="340"/>
      <c r="D8" s="340"/>
      <c r="E8" s="250"/>
      <c r="F8" s="341"/>
      <c r="G8" s="342"/>
      <c r="H8" s="343"/>
      <c r="I8" s="91"/>
      <c r="J8" s="91"/>
      <c r="K8" s="192"/>
      <c r="L8" s="91"/>
      <c r="M8" s="180"/>
      <c r="N8" s="193"/>
    </row>
    <row r="9" spans="1:14" s="135" customFormat="1" ht="19" thickBot="1" x14ac:dyDescent="0.4">
      <c r="A9" s="335"/>
      <c r="B9" s="336"/>
      <c r="C9" s="308"/>
      <c r="D9" s="308"/>
      <c r="E9" s="250"/>
      <c r="F9" s="344"/>
      <c r="G9" s="250"/>
      <c r="H9" s="339"/>
      <c r="I9" s="179"/>
      <c r="J9" s="179"/>
      <c r="K9" s="179"/>
      <c r="L9" s="179"/>
      <c r="M9" s="179"/>
      <c r="N9" s="186"/>
    </row>
    <row r="10" spans="1:14" s="135" customFormat="1" ht="18.5" x14ac:dyDescent="0.35">
      <c r="A10" s="413" t="s">
        <v>481</v>
      </c>
      <c r="B10" s="414"/>
      <c r="C10" s="414"/>
      <c r="D10" s="414"/>
      <c r="E10" s="250"/>
      <c r="F10" s="338" t="s">
        <v>484</v>
      </c>
      <c r="G10" s="250" t="s">
        <v>423</v>
      </c>
      <c r="H10" s="339" t="s">
        <v>657</v>
      </c>
      <c r="I10" s="415" t="s">
        <v>418</v>
      </c>
      <c r="J10" s="415"/>
      <c r="K10" s="416" t="s">
        <v>417</v>
      </c>
      <c r="L10" s="415"/>
      <c r="M10" s="179"/>
      <c r="N10" s="417" t="s">
        <v>424</v>
      </c>
    </row>
    <row r="11" spans="1:14" s="135" customFormat="1" ht="18.5" x14ac:dyDescent="0.35">
      <c r="A11" s="325"/>
      <c r="B11" s="340"/>
      <c r="C11" s="340"/>
      <c r="D11" s="340"/>
      <c r="E11" s="250"/>
      <c r="F11" s="345" t="s">
        <v>413</v>
      </c>
      <c r="G11" s="250"/>
      <c r="H11" s="339"/>
      <c r="I11" s="20"/>
      <c r="J11" s="20"/>
      <c r="K11" s="20"/>
      <c r="L11" s="20"/>
      <c r="M11" s="179"/>
      <c r="N11" s="418"/>
    </row>
    <row r="12" spans="1:14" s="135" customFormat="1" ht="18.5" x14ac:dyDescent="0.35">
      <c r="A12" s="325"/>
      <c r="B12" s="340"/>
      <c r="C12" s="340"/>
      <c r="D12" s="340"/>
      <c r="E12" s="250"/>
      <c r="F12" s="388" t="s">
        <v>761</v>
      </c>
      <c r="G12" s="250"/>
      <c r="H12" s="339"/>
      <c r="I12" s="20"/>
      <c r="J12" s="20"/>
      <c r="K12" s="20"/>
      <c r="L12" s="20"/>
      <c r="M12" s="179"/>
      <c r="N12" s="418"/>
    </row>
    <row r="13" spans="1:14" s="135" customFormat="1" ht="19" thickBot="1" x14ac:dyDescent="0.4">
      <c r="A13" s="325"/>
      <c r="B13" s="340"/>
      <c r="C13" s="340"/>
      <c r="D13" s="340"/>
      <c r="E13" s="250"/>
      <c r="F13" s="346"/>
      <c r="G13" s="342"/>
      <c r="H13" s="343"/>
      <c r="I13" s="180"/>
      <c r="J13" s="180"/>
      <c r="K13" s="180"/>
      <c r="L13" s="180"/>
      <c r="M13" s="180"/>
      <c r="N13" s="419"/>
    </row>
    <row r="14" spans="1:14" s="135" customFormat="1" ht="19" thickBot="1" x14ac:dyDescent="0.4">
      <c r="A14" s="335"/>
      <c r="B14" s="336"/>
      <c r="C14" s="308"/>
      <c r="D14" s="308"/>
      <c r="E14" s="250"/>
      <c r="F14" s="344"/>
      <c r="G14" s="250"/>
      <c r="H14" s="339"/>
      <c r="I14" s="179"/>
      <c r="J14" s="179"/>
      <c r="K14" s="179"/>
      <c r="L14" s="179"/>
      <c r="M14" s="179"/>
      <c r="N14" s="187"/>
    </row>
    <row r="15" spans="1:14" s="135" customFormat="1" ht="18.5" x14ac:dyDescent="0.35">
      <c r="A15" s="413" t="s">
        <v>410</v>
      </c>
      <c r="B15" s="414"/>
      <c r="C15" s="414"/>
      <c r="D15" s="414"/>
      <c r="E15" s="250"/>
      <c r="F15" s="338" t="str">
        <f>IF('00_SOUHRNNÝ LIST'!F15="","",'00_SOUHRNNÝ LIST'!F15)</f>
        <v/>
      </c>
      <c r="G15" s="250" t="s">
        <v>423</v>
      </c>
      <c r="H15" s="338" t="str">
        <f>IF('00_SOUHRNNÝ LIST'!H15="","",'00_SOUHRNNÝ LIST'!H15)</f>
        <v/>
      </c>
      <c r="I15" s="415" t="str">
        <f>IF('00_SOUHRNNÝ LIST'!I15="","",'00_SOUHRNNÝ LIST'!I15)</f>
        <v/>
      </c>
      <c r="J15" s="447" t="str">
        <f>IF('00_SOUHRNNÝ LIST'!J15="","",'00_SOUHRNNÝ LIST'!J15)</f>
        <v/>
      </c>
      <c r="K15" s="415" t="str">
        <f>IF('00_SOUHRNNÝ LIST'!K15="","",'00_SOUHRNNÝ LIST'!K15)</f>
        <v/>
      </c>
      <c r="L15" s="447" t="str">
        <f>IF('00_SOUHRNNÝ LIST'!L15="","",'00_SOUHRNNÝ LIST'!L15)</f>
        <v/>
      </c>
      <c r="M15" s="179"/>
      <c r="N15" s="417" t="s">
        <v>424</v>
      </c>
    </row>
    <row r="16" spans="1:14" s="135" customFormat="1" ht="18.5" x14ac:dyDescent="0.35">
      <c r="A16" s="325"/>
      <c r="B16" s="340"/>
      <c r="C16" s="340"/>
      <c r="D16" s="340"/>
      <c r="E16" s="250"/>
      <c r="F16" s="338" t="str">
        <f>IF('00_SOUHRNNÝ LIST'!F16="","",'00_SOUHRNNÝ LIST'!F16)</f>
        <v/>
      </c>
      <c r="G16" s="250"/>
      <c r="H16" s="339"/>
      <c r="I16" s="20"/>
      <c r="J16" s="20"/>
      <c r="K16" s="20"/>
      <c r="L16" s="20"/>
      <c r="M16" s="179"/>
      <c r="N16" s="418"/>
    </row>
    <row r="17" spans="1:14" s="135" customFormat="1" ht="18.5" x14ac:dyDescent="0.35">
      <c r="A17" s="325"/>
      <c r="B17" s="340"/>
      <c r="C17" s="340"/>
      <c r="D17" s="340"/>
      <c r="E17" s="250"/>
      <c r="F17" s="338" t="str">
        <f>IF('00_SOUHRNNÝ LIST'!F17="","",'00_SOUHRNNÝ LIST'!F17)</f>
        <v xml:space="preserve">IČO: </v>
      </c>
      <c r="G17" s="250"/>
      <c r="H17" s="339"/>
      <c r="I17" s="20"/>
      <c r="J17" s="20"/>
      <c r="K17" s="20"/>
      <c r="L17" s="20"/>
      <c r="M17" s="179"/>
      <c r="N17" s="418"/>
    </row>
    <row r="18" spans="1:14" s="135" customFormat="1" ht="19" thickBot="1" x14ac:dyDescent="0.4">
      <c r="A18" s="325"/>
      <c r="B18" s="340"/>
      <c r="C18" s="340"/>
      <c r="D18" s="340"/>
      <c r="E18" s="250"/>
      <c r="F18" s="346"/>
      <c r="G18" s="342"/>
      <c r="H18" s="343"/>
      <c r="I18" s="180"/>
      <c r="J18" s="180"/>
      <c r="K18" s="180"/>
      <c r="L18" s="180"/>
      <c r="M18" s="180"/>
      <c r="N18" s="419"/>
    </row>
    <row r="19" spans="1:14" s="135" customFormat="1" ht="19" thickBot="1" x14ac:dyDescent="0.4">
      <c r="A19" s="335"/>
      <c r="B19" s="336"/>
      <c r="C19" s="308"/>
      <c r="D19" s="308"/>
      <c r="E19" s="250"/>
      <c r="F19" s="344"/>
      <c r="G19" s="250"/>
      <c r="H19" s="339"/>
      <c r="I19" s="179"/>
      <c r="J19" s="179"/>
      <c r="K19" s="179"/>
      <c r="L19" s="179"/>
      <c r="M19" s="179"/>
      <c r="N19" s="187"/>
    </row>
    <row r="20" spans="1:14" s="135" customFormat="1" ht="18.5" x14ac:dyDescent="0.35">
      <c r="A20" s="413" t="s">
        <v>411</v>
      </c>
      <c r="B20" s="414"/>
      <c r="C20" s="414"/>
      <c r="D20" s="414"/>
      <c r="E20" s="250"/>
      <c r="F20" s="338" t="s">
        <v>414</v>
      </c>
      <c r="G20" s="250" t="s">
        <v>423</v>
      </c>
      <c r="H20" s="339" t="s">
        <v>482</v>
      </c>
      <c r="I20" s="415" t="s">
        <v>415</v>
      </c>
      <c r="J20" s="415"/>
      <c r="K20" s="416" t="s">
        <v>416</v>
      </c>
      <c r="L20" s="415"/>
      <c r="M20" s="20" t="s">
        <v>421</v>
      </c>
      <c r="N20" s="417" t="s">
        <v>452</v>
      </c>
    </row>
    <row r="21" spans="1:14" s="135" customFormat="1" ht="18.5" x14ac:dyDescent="0.35">
      <c r="A21" s="335"/>
      <c r="B21" s="336"/>
      <c r="C21" s="308"/>
      <c r="D21" s="308"/>
      <c r="E21" s="250"/>
      <c r="F21" s="345" t="s">
        <v>422</v>
      </c>
      <c r="G21" s="250"/>
      <c r="H21" s="339"/>
      <c r="I21" s="179"/>
      <c r="J21" s="179"/>
      <c r="K21" s="179"/>
      <c r="L21" s="179"/>
      <c r="M21" s="179"/>
      <c r="N21" s="418"/>
    </row>
    <row r="22" spans="1:14" s="135" customFormat="1" ht="18.5" x14ac:dyDescent="0.35">
      <c r="A22" s="335"/>
      <c r="B22" s="336"/>
      <c r="C22" s="308"/>
      <c r="D22" s="308"/>
      <c r="E22" s="250"/>
      <c r="F22" s="392" t="s">
        <v>763</v>
      </c>
      <c r="G22" s="250"/>
      <c r="H22" s="339"/>
      <c r="I22" s="179"/>
      <c r="J22" s="179"/>
      <c r="K22" s="179"/>
      <c r="L22" s="179"/>
      <c r="M22" s="179"/>
      <c r="N22" s="418"/>
    </row>
    <row r="23" spans="1:14" s="135" customFormat="1" ht="19" thickBot="1" x14ac:dyDescent="0.4">
      <c r="A23" s="335"/>
      <c r="B23" s="336"/>
      <c r="C23" s="308"/>
      <c r="D23" s="308"/>
      <c r="E23" s="250"/>
      <c r="F23" s="346"/>
      <c r="G23" s="342"/>
      <c r="H23" s="343"/>
      <c r="I23" s="180"/>
      <c r="J23" s="180"/>
      <c r="K23" s="180"/>
      <c r="L23" s="180"/>
      <c r="M23" s="180"/>
      <c r="N23" s="419"/>
    </row>
    <row r="24" spans="1:14" s="135" customFormat="1" ht="19" thickBot="1" x14ac:dyDescent="0.4">
      <c r="A24" s="335"/>
      <c r="B24" s="336"/>
      <c r="C24" s="308"/>
      <c r="D24" s="308"/>
      <c r="E24" s="250"/>
      <c r="F24" s="347"/>
      <c r="G24" s="250"/>
      <c r="H24" s="339"/>
      <c r="I24" s="179"/>
      <c r="J24" s="179"/>
      <c r="K24" s="179"/>
      <c r="L24" s="179"/>
      <c r="M24" s="179"/>
      <c r="N24" s="187"/>
    </row>
    <row r="25" spans="1:14" s="135" customFormat="1" ht="18.5" x14ac:dyDescent="0.35">
      <c r="A25" s="413" t="s">
        <v>412</v>
      </c>
      <c r="B25" s="414"/>
      <c r="C25" s="414"/>
      <c r="D25" s="414"/>
      <c r="E25" s="250"/>
      <c r="F25" s="338" t="s">
        <v>414</v>
      </c>
      <c r="G25" s="250" t="s">
        <v>423</v>
      </c>
      <c r="H25" s="339" t="s">
        <v>482</v>
      </c>
      <c r="I25" s="415" t="s">
        <v>415</v>
      </c>
      <c r="J25" s="415"/>
      <c r="K25" s="416" t="s">
        <v>416</v>
      </c>
      <c r="L25" s="415"/>
      <c r="M25" s="20" t="s">
        <v>421</v>
      </c>
      <c r="N25" s="417" t="s">
        <v>452</v>
      </c>
    </row>
    <row r="26" spans="1:14" s="135" customFormat="1" ht="18.5" x14ac:dyDescent="0.35">
      <c r="A26" s="335"/>
      <c r="B26" s="336"/>
      <c r="C26" s="308"/>
      <c r="D26" s="308"/>
      <c r="E26" s="250"/>
      <c r="F26" s="345" t="s">
        <v>422</v>
      </c>
      <c r="G26" s="250"/>
      <c r="H26" s="337"/>
      <c r="I26" s="179"/>
      <c r="J26" s="179"/>
      <c r="K26" s="179"/>
      <c r="L26" s="179"/>
      <c r="M26" s="179"/>
      <c r="N26" s="418"/>
    </row>
    <row r="27" spans="1:14" s="135" customFormat="1" ht="18.5" x14ac:dyDescent="0.35">
      <c r="A27" s="335"/>
      <c r="B27" s="336"/>
      <c r="C27" s="308"/>
      <c r="D27" s="308"/>
      <c r="E27" s="250"/>
      <c r="F27" s="392" t="s">
        <v>763</v>
      </c>
      <c r="G27" s="250"/>
      <c r="H27" s="337"/>
      <c r="I27" s="179"/>
      <c r="J27" s="179"/>
      <c r="K27" s="179"/>
      <c r="L27" s="179"/>
      <c r="M27" s="179"/>
      <c r="N27" s="418"/>
    </row>
    <row r="28" spans="1:14" s="135" customFormat="1" ht="19" thickBot="1" x14ac:dyDescent="0.4">
      <c r="A28" s="185"/>
      <c r="B28" s="178"/>
      <c r="C28" s="26"/>
      <c r="D28" s="26"/>
      <c r="E28" s="20"/>
      <c r="F28" s="182"/>
      <c r="G28" s="91"/>
      <c r="H28" s="181"/>
      <c r="I28" s="180"/>
      <c r="J28" s="180"/>
      <c r="K28" s="180"/>
      <c r="L28" s="180"/>
      <c r="M28" s="180"/>
      <c r="N28" s="419"/>
    </row>
    <row r="29" spans="1:14" s="135" customFormat="1" ht="19" thickBot="1" x14ac:dyDescent="0.4">
      <c r="A29" s="188"/>
      <c r="B29" s="189"/>
      <c r="C29" s="21"/>
      <c r="D29" s="21"/>
      <c r="E29" s="21"/>
      <c r="F29" s="21"/>
      <c r="G29" s="21"/>
      <c r="H29" s="190"/>
      <c r="I29" s="190"/>
      <c r="J29" s="190"/>
      <c r="K29" s="190"/>
      <c r="L29" s="190"/>
      <c r="M29" s="190"/>
      <c r="N29" s="191"/>
    </row>
    <row r="30" spans="1:14" s="135" customFormat="1" ht="19" thickBot="1" x14ac:dyDescent="0.4">
      <c r="A30" s="179"/>
      <c r="B30" s="202"/>
      <c r="C30" s="201"/>
      <c r="D30" s="201"/>
      <c r="E30" s="201"/>
      <c r="F30" s="201"/>
      <c r="G30" s="201"/>
      <c r="H30" s="179"/>
      <c r="I30" s="179"/>
      <c r="J30" s="179"/>
      <c r="K30" s="179"/>
      <c r="L30" s="179"/>
      <c r="M30" s="179"/>
      <c r="N30" s="179"/>
    </row>
    <row r="31" spans="1:14" s="141" customFormat="1" ht="26.5" thickBot="1" x14ac:dyDescent="0.4">
      <c r="A31" s="435" t="s">
        <v>434</v>
      </c>
      <c r="B31" s="436"/>
      <c r="C31" s="436"/>
      <c r="D31" s="436"/>
      <c r="E31" s="436"/>
      <c r="F31" s="436"/>
      <c r="G31" s="436"/>
      <c r="H31" s="436"/>
      <c r="I31" s="436"/>
      <c r="J31" s="436"/>
      <c r="K31" s="436"/>
      <c r="L31" s="436"/>
      <c r="M31" s="436"/>
      <c r="N31" s="424"/>
    </row>
    <row r="32" spans="1:14" ht="10" customHeight="1" thickBot="1" x14ac:dyDescent="0.4">
      <c r="A32" s="128"/>
      <c r="B32" s="129"/>
      <c r="C32" s="129"/>
      <c r="D32" s="129"/>
      <c r="E32" s="129"/>
      <c r="F32" s="129"/>
      <c r="G32" s="129"/>
      <c r="H32" s="129"/>
      <c r="I32" s="129"/>
      <c r="J32" s="129"/>
      <c r="K32" s="129"/>
      <c r="L32" s="129"/>
      <c r="M32" s="129"/>
    </row>
    <row r="33" spans="1:14" ht="26.5" thickBot="1" x14ac:dyDescent="0.4">
      <c r="A33" s="437" t="s">
        <v>743</v>
      </c>
      <c r="B33" s="438"/>
      <c r="C33" s="438"/>
      <c r="D33" s="438"/>
      <c r="E33" s="438"/>
      <c r="F33" s="438"/>
      <c r="G33" s="438"/>
      <c r="H33" s="438"/>
      <c r="I33" s="438"/>
      <c r="J33" s="438"/>
      <c r="K33" s="439"/>
      <c r="L33" s="131" t="s">
        <v>7</v>
      </c>
      <c r="M33" s="131" t="s">
        <v>8</v>
      </c>
      <c r="N33" s="174"/>
    </row>
    <row r="34" spans="1:14" ht="18.5" x14ac:dyDescent="0.35">
      <c r="A34" s="413" t="s">
        <v>55</v>
      </c>
      <c r="B34" s="434"/>
      <c r="C34" s="434"/>
      <c r="D34" s="434"/>
      <c r="E34" s="434"/>
      <c r="F34" s="434"/>
      <c r="G34" s="434"/>
      <c r="H34" s="229"/>
      <c r="I34" s="229"/>
      <c r="J34" s="229"/>
      <c r="K34" s="229"/>
      <c r="L34" s="333">
        <f>'01_LAPIDARIUM'!L5</f>
        <v>0</v>
      </c>
      <c r="M34" s="333">
        <f>'01_LAPIDARIUM'!M5</f>
        <v>0</v>
      </c>
      <c r="N34" s="348"/>
    </row>
    <row r="35" spans="1:14" ht="18.5" x14ac:dyDescent="0.35">
      <c r="A35" s="413" t="s">
        <v>37</v>
      </c>
      <c r="B35" s="434"/>
      <c r="C35" s="434"/>
      <c r="D35" s="434"/>
      <c r="E35" s="434"/>
      <c r="F35" s="434"/>
      <c r="G35" s="434"/>
      <c r="H35" s="229"/>
      <c r="I35" s="229"/>
      <c r="J35" s="229"/>
      <c r="K35" s="229"/>
      <c r="L35" s="333">
        <f>'01_LAPIDARIUM'!L6</f>
        <v>0</v>
      </c>
      <c r="M35" s="333">
        <f>'01_LAPIDARIUM'!M6</f>
        <v>0</v>
      </c>
      <c r="N35" s="348"/>
    </row>
    <row r="36" spans="1:14" ht="18.5" x14ac:dyDescent="0.35">
      <c r="A36" s="413" t="s">
        <v>43</v>
      </c>
      <c r="B36" s="434"/>
      <c r="C36" s="434"/>
      <c r="D36" s="434"/>
      <c r="E36" s="434"/>
      <c r="F36" s="434"/>
      <c r="G36" s="434"/>
      <c r="H36" s="229"/>
      <c r="I36" s="229"/>
      <c r="J36" s="229"/>
      <c r="K36" s="229"/>
      <c r="L36" s="333">
        <f>'01_LAPIDARIUM'!L7</f>
        <v>0</v>
      </c>
      <c r="M36" s="333">
        <f>'01_LAPIDARIUM'!M7</f>
        <v>0</v>
      </c>
      <c r="N36" s="348"/>
    </row>
    <row r="37" spans="1:14" ht="18.5" x14ac:dyDescent="0.35">
      <c r="A37" s="413" t="s">
        <v>45</v>
      </c>
      <c r="B37" s="434"/>
      <c r="C37" s="434"/>
      <c r="D37" s="434"/>
      <c r="E37" s="434"/>
      <c r="F37" s="434"/>
      <c r="G37" s="434"/>
      <c r="H37" s="229"/>
      <c r="I37" s="229"/>
      <c r="J37" s="229"/>
      <c r="K37" s="229"/>
      <c r="L37" s="333">
        <f>'01_LAPIDARIUM'!L8</f>
        <v>0</v>
      </c>
      <c r="M37" s="333">
        <f>'01_LAPIDARIUM'!M8</f>
        <v>0</v>
      </c>
      <c r="N37" s="348"/>
    </row>
    <row r="38" spans="1:14" ht="18.5" x14ac:dyDescent="0.35">
      <c r="A38" s="413" t="s">
        <v>56</v>
      </c>
      <c r="B38" s="434"/>
      <c r="C38" s="434"/>
      <c r="D38" s="434"/>
      <c r="E38" s="434"/>
      <c r="F38" s="434"/>
      <c r="G38" s="434"/>
      <c r="H38" s="229"/>
      <c r="I38" s="229"/>
      <c r="J38" s="229"/>
      <c r="K38" s="229"/>
      <c r="L38" s="333">
        <f>'01_LAPIDARIUM'!L9</f>
        <v>0</v>
      </c>
      <c r="M38" s="333">
        <f>'01_LAPIDARIUM'!M9</f>
        <v>0</v>
      </c>
      <c r="N38" s="348"/>
    </row>
    <row r="39" spans="1:14" ht="19" thickBot="1" x14ac:dyDescent="0.4">
      <c r="A39" s="413" t="s">
        <v>57</v>
      </c>
      <c r="B39" s="434"/>
      <c r="C39" s="434"/>
      <c r="D39" s="434"/>
      <c r="E39" s="434"/>
      <c r="F39" s="434"/>
      <c r="G39" s="434"/>
      <c r="H39" s="229"/>
      <c r="I39" s="229"/>
      <c r="J39" s="229"/>
      <c r="K39" s="229"/>
      <c r="L39" s="333">
        <f>'01_LAPIDARIUM'!L10</f>
        <v>0</v>
      </c>
      <c r="M39" s="333">
        <f>'01_LAPIDARIUM'!M10</f>
        <v>0</v>
      </c>
      <c r="N39" s="223" t="s">
        <v>714</v>
      </c>
    </row>
    <row r="40" spans="1:14" ht="26.5" thickBot="1" x14ac:dyDescent="0.4">
      <c r="A40" s="445" t="s">
        <v>164</v>
      </c>
      <c r="B40" s="394"/>
      <c r="C40" s="394"/>
      <c r="D40" s="394"/>
      <c r="E40" s="394"/>
      <c r="F40" s="394"/>
      <c r="G40" s="394"/>
      <c r="H40" s="394"/>
      <c r="I40" s="394"/>
      <c r="J40" s="394"/>
      <c r="K40" s="446"/>
      <c r="L40" s="349">
        <f>SUM(L34:L39)</f>
        <v>0</v>
      </c>
      <c r="M40" s="349">
        <f>SUM(M34:M39)</f>
        <v>0</v>
      </c>
      <c r="N40" s="348"/>
    </row>
    <row r="41" spans="1:14" ht="26.5" thickBot="1" x14ac:dyDescent="0.4">
      <c r="A41" s="350"/>
      <c r="B41" s="351"/>
      <c r="C41" s="351"/>
      <c r="D41" s="351"/>
      <c r="E41" s="351"/>
      <c r="F41" s="351"/>
      <c r="G41" s="351"/>
      <c r="H41" s="351"/>
      <c r="I41" s="351"/>
      <c r="J41" s="351"/>
      <c r="K41" s="351"/>
      <c r="L41" s="351"/>
      <c r="M41" s="351"/>
      <c r="N41" s="352"/>
    </row>
    <row r="42" spans="1:14" ht="26.5" thickBot="1" x14ac:dyDescent="0.4">
      <c r="A42" s="448" t="s">
        <v>744</v>
      </c>
      <c r="B42" s="449"/>
      <c r="C42" s="449"/>
      <c r="D42" s="449"/>
      <c r="E42" s="449"/>
      <c r="F42" s="449"/>
      <c r="G42" s="449"/>
      <c r="H42" s="449"/>
      <c r="I42" s="449"/>
      <c r="J42" s="449"/>
      <c r="K42" s="449"/>
      <c r="L42" s="207"/>
      <c r="M42" s="208"/>
      <c r="N42" s="159"/>
    </row>
    <row r="43" spans="1:14" ht="26.5" thickBot="1" x14ac:dyDescent="0.4">
      <c r="A43" s="175"/>
      <c r="B43" s="129"/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76"/>
    </row>
    <row r="44" spans="1:14" ht="26.5" thickBot="1" x14ac:dyDescent="0.4">
      <c r="A44" s="437" t="s">
        <v>745</v>
      </c>
      <c r="B44" s="438"/>
      <c r="C44" s="438"/>
      <c r="D44" s="438"/>
      <c r="E44" s="438"/>
      <c r="F44" s="438"/>
      <c r="G44" s="438"/>
      <c r="H44" s="438"/>
      <c r="I44" s="438"/>
      <c r="J44" s="438"/>
      <c r="K44" s="439"/>
      <c r="L44" s="127" t="s">
        <v>7</v>
      </c>
      <c r="M44" s="127" t="s">
        <v>8</v>
      </c>
      <c r="N44" s="159"/>
    </row>
    <row r="45" spans="1:14" ht="18.5" x14ac:dyDescent="0.35">
      <c r="A45" s="413" t="s">
        <v>55</v>
      </c>
      <c r="B45" s="434"/>
      <c r="C45" s="434"/>
      <c r="D45" s="434"/>
      <c r="E45" s="434"/>
      <c r="F45" s="434"/>
      <c r="G45" s="434"/>
      <c r="H45" s="229"/>
      <c r="I45" s="229"/>
      <c r="J45" s="229"/>
      <c r="K45" s="229"/>
      <c r="L45" s="333">
        <f>'03_DOBA LEDOVÁ'!L5</f>
        <v>0</v>
      </c>
      <c r="M45" s="333">
        <f>'03_DOBA LEDOVÁ'!M5</f>
        <v>0</v>
      </c>
      <c r="N45" s="348"/>
    </row>
    <row r="46" spans="1:14" ht="18.5" x14ac:dyDescent="0.35">
      <c r="A46" s="413" t="s">
        <v>37</v>
      </c>
      <c r="B46" s="434"/>
      <c r="C46" s="434"/>
      <c r="D46" s="434"/>
      <c r="E46" s="434"/>
      <c r="F46" s="434"/>
      <c r="G46" s="434"/>
      <c r="H46" s="229"/>
      <c r="I46" s="229"/>
      <c r="J46" s="229"/>
      <c r="K46" s="229"/>
      <c r="L46" s="333">
        <f>'03_DOBA LEDOVÁ'!L6</f>
        <v>0</v>
      </c>
      <c r="M46" s="333">
        <f>'03_DOBA LEDOVÁ'!M6</f>
        <v>0</v>
      </c>
      <c r="N46" s="348"/>
    </row>
    <row r="47" spans="1:14" ht="18.5" x14ac:dyDescent="0.35">
      <c r="A47" s="413" t="s">
        <v>43</v>
      </c>
      <c r="B47" s="434"/>
      <c r="C47" s="434"/>
      <c r="D47" s="434"/>
      <c r="E47" s="434"/>
      <c r="F47" s="434"/>
      <c r="G47" s="434"/>
      <c r="H47" s="229"/>
      <c r="I47" s="229"/>
      <c r="J47" s="229"/>
      <c r="K47" s="229"/>
      <c r="L47" s="333">
        <f>'03_DOBA LEDOVÁ'!L7</f>
        <v>0</v>
      </c>
      <c r="M47" s="333">
        <f>'03_DOBA LEDOVÁ'!M7</f>
        <v>0</v>
      </c>
      <c r="N47" s="348"/>
    </row>
    <row r="48" spans="1:14" ht="18.5" x14ac:dyDescent="0.35">
      <c r="A48" s="413" t="s">
        <v>45</v>
      </c>
      <c r="B48" s="434"/>
      <c r="C48" s="434"/>
      <c r="D48" s="434"/>
      <c r="E48" s="434"/>
      <c r="F48" s="434"/>
      <c r="G48" s="434"/>
      <c r="H48" s="229"/>
      <c r="I48" s="229"/>
      <c r="J48" s="229"/>
      <c r="K48" s="229"/>
      <c r="L48" s="333">
        <f>'03_DOBA LEDOVÁ'!L8</f>
        <v>0</v>
      </c>
      <c r="M48" s="333">
        <f>'03_DOBA LEDOVÁ'!M8</f>
        <v>0</v>
      </c>
      <c r="N48" s="348"/>
    </row>
    <row r="49" spans="1:14" ht="18.5" x14ac:dyDescent="0.35">
      <c r="A49" s="413" t="s">
        <v>56</v>
      </c>
      <c r="B49" s="434"/>
      <c r="C49" s="434"/>
      <c r="D49" s="434"/>
      <c r="E49" s="434"/>
      <c r="F49" s="434"/>
      <c r="G49" s="434"/>
      <c r="H49" s="229"/>
      <c r="I49" s="229"/>
      <c r="J49" s="229"/>
      <c r="K49" s="229"/>
      <c r="L49" s="333">
        <f>'03_DOBA LEDOVÁ'!L9</f>
        <v>0</v>
      </c>
      <c r="M49" s="333">
        <f>'03_DOBA LEDOVÁ'!M9</f>
        <v>0</v>
      </c>
      <c r="N49" s="348"/>
    </row>
    <row r="50" spans="1:14" ht="19" thickBot="1" x14ac:dyDescent="0.4">
      <c r="A50" s="413" t="s">
        <v>57</v>
      </c>
      <c r="B50" s="434"/>
      <c r="C50" s="434"/>
      <c r="D50" s="434"/>
      <c r="E50" s="434"/>
      <c r="F50" s="434"/>
      <c r="G50" s="434"/>
      <c r="H50" s="229"/>
      <c r="I50" s="229"/>
      <c r="J50" s="229"/>
      <c r="K50" s="229"/>
      <c r="L50" s="333">
        <f>'03_DOBA LEDOVÁ'!L10</f>
        <v>0</v>
      </c>
      <c r="M50" s="333">
        <f>'03_DOBA LEDOVÁ'!M10</f>
        <v>0</v>
      </c>
      <c r="N50" s="223" t="s">
        <v>714</v>
      </c>
    </row>
    <row r="51" spans="1:14" ht="26.5" thickBot="1" x14ac:dyDescent="0.4">
      <c r="A51" s="445" t="s">
        <v>189</v>
      </c>
      <c r="B51" s="394"/>
      <c r="C51" s="394"/>
      <c r="D51" s="394"/>
      <c r="E51" s="394"/>
      <c r="F51" s="394"/>
      <c r="G51" s="394"/>
      <c r="H51" s="394"/>
      <c r="I51" s="394"/>
      <c r="J51" s="394"/>
      <c r="K51" s="446"/>
      <c r="L51" s="349">
        <f>SUM(L45:L50)</f>
        <v>0</v>
      </c>
      <c r="M51" s="349">
        <f>SUM(M45:M50)</f>
        <v>0</v>
      </c>
      <c r="N51" s="348"/>
    </row>
    <row r="52" spans="1:14" ht="26.5" thickBot="1" x14ac:dyDescent="0.4">
      <c r="A52" s="350"/>
      <c r="B52" s="351"/>
      <c r="C52" s="351"/>
      <c r="D52" s="351"/>
      <c r="E52" s="351"/>
      <c r="F52" s="351"/>
      <c r="G52" s="351"/>
      <c r="H52" s="351"/>
      <c r="I52" s="351"/>
      <c r="J52" s="351"/>
      <c r="K52" s="351"/>
      <c r="L52" s="351"/>
      <c r="M52" s="351"/>
      <c r="N52" s="352"/>
    </row>
    <row r="53" spans="1:14" ht="26.5" thickBot="1" x14ac:dyDescent="0.4">
      <c r="A53" s="437" t="s">
        <v>746</v>
      </c>
      <c r="B53" s="438"/>
      <c r="C53" s="438"/>
      <c r="D53" s="438"/>
      <c r="E53" s="438"/>
      <c r="F53" s="438"/>
      <c r="G53" s="438"/>
      <c r="H53" s="438"/>
      <c r="I53" s="438"/>
      <c r="J53" s="438"/>
      <c r="K53" s="439"/>
      <c r="L53" s="127" t="s">
        <v>7</v>
      </c>
      <c r="M53" s="127" t="s">
        <v>8</v>
      </c>
      <c r="N53" s="159"/>
    </row>
    <row r="54" spans="1:14" ht="18.5" x14ac:dyDescent="0.35">
      <c r="A54" s="413" t="s">
        <v>55</v>
      </c>
      <c r="B54" s="434"/>
      <c r="C54" s="434"/>
      <c r="D54" s="434"/>
      <c r="E54" s="434"/>
      <c r="F54" s="434"/>
      <c r="G54" s="434"/>
      <c r="H54" s="229"/>
      <c r="I54" s="229"/>
      <c r="J54" s="229"/>
      <c r="K54" s="229"/>
      <c r="L54" s="333">
        <f>'04_OTEVŘENÁ KRAJINA'!L5</f>
        <v>0</v>
      </c>
      <c r="M54" s="333">
        <f>'04_OTEVŘENÁ KRAJINA'!M5</f>
        <v>0</v>
      </c>
      <c r="N54" s="348"/>
    </row>
    <row r="55" spans="1:14" ht="18.5" x14ac:dyDescent="0.35">
      <c r="A55" s="413" t="s">
        <v>37</v>
      </c>
      <c r="B55" s="434"/>
      <c r="C55" s="434"/>
      <c r="D55" s="434"/>
      <c r="E55" s="434"/>
      <c r="F55" s="434"/>
      <c r="G55" s="434"/>
      <c r="H55" s="229"/>
      <c r="I55" s="229"/>
      <c r="J55" s="229"/>
      <c r="K55" s="229"/>
      <c r="L55" s="333">
        <f>'04_OTEVŘENÁ KRAJINA'!L6</f>
        <v>0</v>
      </c>
      <c r="M55" s="333">
        <f>'04_OTEVŘENÁ KRAJINA'!M6</f>
        <v>0</v>
      </c>
      <c r="N55" s="348"/>
    </row>
    <row r="56" spans="1:14" ht="18.5" x14ac:dyDescent="0.35">
      <c r="A56" s="413" t="s">
        <v>43</v>
      </c>
      <c r="B56" s="434"/>
      <c r="C56" s="434"/>
      <c r="D56" s="434"/>
      <c r="E56" s="434"/>
      <c r="F56" s="434"/>
      <c r="G56" s="434"/>
      <c r="H56" s="229"/>
      <c r="I56" s="229"/>
      <c r="J56" s="229"/>
      <c r="K56" s="229"/>
      <c r="L56" s="333">
        <f>'04_OTEVŘENÁ KRAJINA'!L7</f>
        <v>0</v>
      </c>
      <c r="M56" s="333">
        <f>'04_OTEVŘENÁ KRAJINA'!M7</f>
        <v>0</v>
      </c>
      <c r="N56" s="348"/>
    </row>
    <row r="57" spans="1:14" ht="18.5" x14ac:dyDescent="0.35">
      <c r="A57" s="413" t="s">
        <v>45</v>
      </c>
      <c r="B57" s="434"/>
      <c r="C57" s="434"/>
      <c r="D57" s="434"/>
      <c r="E57" s="434"/>
      <c r="F57" s="434"/>
      <c r="G57" s="434"/>
      <c r="H57" s="229"/>
      <c r="I57" s="229"/>
      <c r="J57" s="229"/>
      <c r="K57" s="229"/>
      <c r="L57" s="333">
        <f>'04_OTEVŘENÁ KRAJINA'!L8</f>
        <v>0</v>
      </c>
      <c r="M57" s="333">
        <f>'04_OTEVŘENÁ KRAJINA'!M8</f>
        <v>0</v>
      </c>
      <c r="N57" s="348"/>
    </row>
    <row r="58" spans="1:14" ht="18.5" x14ac:dyDescent="0.35">
      <c r="A58" s="413" t="s">
        <v>56</v>
      </c>
      <c r="B58" s="434"/>
      <c r="C58" s="434"/>
      <c r="D58" s="434"/>
      <c r="E58" s="434"/>
      <c r="F58" s="434"/>
      <c r="G58" s="434"/>
      <c r="H58" s="229"/>
      <c r="I58" s="229"/>
      <c r="J58" s="229"/>
      <c r="K58" s="229"/>
      <c r="L58" s="333">
        <f>'04_OTEVŘENÁ KRAJINA'!L9</f>
        <v>0</v>
      </c>
      <c r="M58" s="333">
        <f>'04_OTEVŘENÁ KRAJINA'!M9</f>
        <v>0</v>
      </c>
      <c r="N58" s="348"/>
    </row>
    <row r="59" spans="1:14" ht="19" thickBot="1" x14ac:dyDescent="0.4">
      <c r="A59" s="413" t="s">
        <v>57</v>
      </c>
      <c r="B59" s="434"/>
      <c r="C59" s="434"/>
      <c r="D59" s="434"/>
      <c r="E59" s="434"/>
      <c r="F59" s="434"/>
      <c r="G59" s="434"/>
      <c r="H59" s="229"/>
      <c r="I59" s="229"/>
      <c r="J59" s="229"/>
      <c r="K59" s="229"/>
      <c r="L59" s="333">
        <f>'04_OTEVŘENÁ KRAJINA'!L10</f>
        <v>0</v>
      </c>
      <c r="M59" s="333">
        <f>'04_OTEVŘENÁ KRAJINA'!M10</f>
        <v>0</v>
      </c>
      <c r="N59" s="223" t="s">
        <v>714</v>
      </c>
    </row>
    <row r="60" spans="1:14" ht="26.5" thickBot="1" x14ac:dyDescent="0.4">
      <c r="A60" s="445" t="s">
        <v>199</v>
      </c>
      <c r="B60" s="394"/>
      <c r="C60" s="394"/>
      <c r="D60" s="394"/>
      <c r="E60" s="394"/>
      <c r="F60" s="394"/>
      <c r="G60" s="394"/>
      <c r="H60" s="394"/>
      <c r="I60" s="394"/>
      <c r="J60" s="394"/>
      <c r="K60" s="446"/>
      <c r="L60" s="349">
        <f>SUM(L54:L59)</f>
        <v>0</v>
      </c>
      <c r="M60" s="349">
        <f>SUM(M54:M59)</f>
        <v>0</v>
      </c>
      <c r="N60" s="348"/>
    </row>
    <row r="61" spans="1:14" ht="26.5" thickBot="1" x14ac:dyDescent="0.4">
      <c r="A61" s="350"/>
      <c r="B61" s="351"/>
      <c r="C61" s="351"/>
      <c r="D61" s="351"/>
      <c r="E61" s="351"/>
      <c r="F61" s="351"/>
      <c r="G61" s="351"/>
      <c r="H61" s="351"/>
      <c r="I61" s="351"/>
      <c r="J61" s="351"/>
      <c r="K61" s="351"/>
      <c r="L61" s="351"/>
      <c r="M61" s="351"/>
      <c r="N61" s="352"/>
    </row>
    <row r="62" spans="1:14" ht="26.5" thickBot="1" x14ac:dyDescent="0.4">
      <c r="A62" s="437" t="s">
        <v>747</v>
      </c>
      <c r="B62" s="438"/>
      <c r="C62" s="438"/>
      <c r="D62" s="438"/>
      <c r="E62" s="438"/>
      <c r="F62" s="438"/>
      <c r="G62" s="438"/>
      <c r="H62" s="438"/>
      <c r="I62" s="438"/>
      <c r="J62" s="438"/>
      <c r="K62" s="439"/>
      <c r="L62" s="127" t="s">
        <v>7</v>
      </c>
      <c r="M62" s="127" t="s">
        <v>8</v>
      </c>
      <c r="N62" s="159"/>
    </row>
    <row r="63" spans="1:14" ht="18.5" x14ac:dyDescent="0.35">
      <c r="A63" s="413" t="s">
        <v>55</v>
      </c>
      <c r="B63" s="434"/>
      <c r="C63" s="434"/>
      <c r="D63" s="434"/>
      <c r="E63" s="434"/>
      <c r="F63" s="434"/>
      <c r="G63" s="434"/>
      <c r="H63" s="229"/>
      <c r="I63" s="229"/>
      <c r="J63" s="229"/>
      <c r="K63" s="229"/>
      <c r="L63" s="333">
        <f>'05_VODA'!L5</f>
        <v>0</v>
      </c>
      <c r="M63" s="333">
        <f>'05_VODA'!M5</f>
        <v>0</v>
      </c>
      <c r="N63" s="348"/>
    </row>
    <row r="64" spans="1:14" ht="18.5" x14ac:dyDescent="0.35">
      <c r="A64" s="413" t="s">
        <v>37</v>
      </c>
      <c r="B64" s="434"/>
      <c r="C64" s="434"/>
      <c r="D64" s="434"/>
      <c r="E64" s="434"/>
      <c r="F64" s="434"/>
      <c r="G64" s="434"/>
      <c r="H64" s="229"/>
      <c r="I64" s="229"/>
      <c r="J64" s="229"/>
      <c r="K64" s="229"/>
      <c r="L64" s="333">
        <f>'05_VODA'!L6</f>
        <v>0</v>
      </c>
      <c r="M64" s="333">
        <f>'05_VODA'!M6</f>
        <v>0</v>
      </c>
      <c r="N64" s="348"/>
    </row>
    <row r="65" spans="1:14" ht="18.5" x14ac:dyDescent="0.35">
      <c r="A65" s="413" t="s">
        <v>43</v>
      </c>
      <c r="B65" s="434"/>
      <c r="C65" s="434"/>
      <c r="D65" s="434"/>
      <c r="E65" s="434"/>
      <c r="F65" s="434"/>
      <c r="G65" s="434"/>
      <c r="H65" s="229"/>
      <c r="I65" s="229"/>
      <c r="J65" s="229"/>
      <c r="K65" s="229"/>
      <c r="L65" s="333">
        <f>'05_VODA'!L7</f>
        <v>0</v>
      </c>
      <c r="M65" s="333">
        <f>'05_VODA'!M7</f>
        <v>0</v>
      </c>
      <c r="N65" s="348"/>
    </row>
    <row r="66" spans="1:14" ht="18.5" x14ac:dyDescent="0.35">
      <c r="A66" s="413" t="s">
        <v>45</v>
      </c>
      <c r="B66" s="434"/>
      <c r="C66" s="434"/>
      <c r="D66" s="434"/>
      <c r="E66" s="434"/>
      <c r="F66" s="434"/>
      <c r="G66" s="434"/>
      <c r="H66" s="229"/>
      <c r="I66" s="229"/>
      <c r="J66" s="229"/>
      <c r="K66" s="229"/>
      <c r="L66" s="333">
        <f>'05_VODA'!L8</f>
        <v>0</v>
      </c>
      <c r="M66" s="333">
        <f>'05_VODA'!M8</f>
        <v>0</v>
      </c>
      <c r="N66" s="348"/>
    </row>
    <row r="67" spans="1:14" ht="18.5" x14ac:dyDescent="0.35">
      <c r="A67" s="413" t="s">
        <v>56</v>
      </c>
      <c r="B67" s="434"/>
      <c r="C67" s="434"/>
      <c r="D67" s="434"/>
      <c r="E67" s="434"/>
      <c r="F67" s="434"/>
      <c r="G67" s="434"/>
      <c r="H67" s="229"/>
      <c r="I67" s="229"/>
      <c r="J67" s="229"/>
      <c r="K67" s="229"/>
      <c r="L67" s="333">
        <f>'05_VODA'!L9</f>
        <v>0</v>
      </c>
      <c r="M67" s="333">
        <f>'05_VODA'!M9</f>
        <v>0</v>
      </c>
      <c r="N67" s="348"/>
    </row>
    <row r="68" spans="1:14" ht="19" thickBot="1" x14ac:dyDescent="0.4">
      <c r="A68" s="413" t="s">
        <v>57</v>
      </c>
      <c r="B68" s="434"/>
      <c r="C68" s="434"/>
      <c r="D68" s="434"/>
      <c r="E68" s="434"/>
      <c r="F68" s="434"/>
      <c r="G68" s="434"/>
      <c r="H68" s="229"/>
      <c r="I68" s="229"/>
      <c r="J68" s="229"/>
      <c r="K68" s="229"/>
      <c r="L68" s="333">
        <f>'05_VODA'!L10</f>
        <v>0</v>
      </c>
      <c r="M68" s="333">
        <f>'05_VODA'!M10</f>
        <v>0</v>
      </c>
      <c r="N68" s="223" t="s">
        <v>714</v>
      </c>
    </row>
    <row r="69" spans="1:14" ht="26.5" thickBot="1" x14ac:dyDescent="0.4">
      <c r="A69" s="445" t="s">
        <v>180</v>
      </c>
      <c r="B69" s="394"/>
      <c r="C69" s="394"/>
      <c r="D69" s="394"/>
      <c r="E69" s="394"/>
      <c r="F69" s="394"/>
      <c r="G69" s="394"/>
      <c r="H69" s="394"/>
      <c r="I69" s="394"/>
      <c r="J69" s="394"/>
      <c r="K69" s="446"/>
      <c r="L69" s="349">
        <f>SUM(L63:L68)</f>
        <v>0</v>
      </c>
      <c r="M69" s="349">
        <f>SUM(M63:M68)</f>
        <v>0</v>
      </c>
      <c r="N69" s="348"/>
    </row>
    <row r="70" spans="1:14" ht="26.5" thickBot="1" x14ac:dyDescent="0.4">
      <c r="A70" s="350"/>
      <c r="B70" s="351"/>
      <c r="C70" s="351"/>
      <c r="D70" s="351"/>
      <c r="E70" s="351"/>
      <c r="F70" s="351"/>
      <c r="G70" s="351"/>
      <c r="H70" s="351"/>
      <c r="I70" s="351"/>
      <c r="J70" s="351"/>
      <c r="K70" s="351"/>
      <c r="L70" s="351"/>
      <c r="M70" s="351"/>
      <c r="N70" s="352"/>
    </row>
    <row r="71" spans="1:14" ht="26.5" thickBot="1" x14ac:dyDescent="0.4">
      <c r="A71" s="448" t="s">
        <v>748</v>
      </c>
      <c r="B71" s="449"/>
      <c r="C71" s="449"/>
      <c r="D71" s="449"/>
      <c r="E71" s="449"/>
      <c r="F71" s="449"/>
      <c r="G71" s="449"/>
      <c r="H71" s="449"/>
      <c r="I71" s="449"/>
      <c r="J71" s="449"/>
      <c r="K71" s="449"/>
      <c r="L71" s="207"/>
      <c r="M71" s="208"/>
      <c r="N71" s="159"/>
    </row>
    <row r="72" spans="1:14" ht="26.5" thickBot="1" x14ac:dyDescent="0.4">
      <c r="A72" s="175"/>
      <c r="B72" s="129"/>
      <c r="C72" s="129"/>
      <c r="D72" s="129"/>
      <c r="E72" s="129"/>
      <c r="F72" s="129"/>
      <c r="G72" s="129"/>
      <c r="H72" s="129"/>
      <c r="I72" s="129"/>
      <c r="J72" s="129"/>
      <c r="K72" s="129"/>
      <c r="L72" s="129"/>
      <c r="M72" s="129"/>
      <c r="N72" s="176"/>
    </row>
    <row r="73" spans="1:14" ht="26.5" thickBot="1" x14ac:dyDescent="0.4">
      <c r="A73" s="437" t="s">
        <v>749</v>
      </c>
      <c r="B73" s="438"/>
      <c r="C73" s="438"/>
      <c r="D73" s="438"/>
      <c r="E73" s="438"/>
      <c r="F73" s="438"/>
      <c r="G73" s="438"/>
      <c r="H73" s="438"/>
      <c r="I73" s="438"/>
      <c r="J73" s="438"/>
      <c r="K73" s="439"/>
      <c r="L73" s="127" t="s">
        <v>7</v>
      </c>
      <c r="M73" s="127" t="s">
        <v>8</v>
      </c>
      <c r="N73" s="159"/>
    </row>
    <row r="74" spans="1:14" ht="18.5" x14ac:dyDescent="0.35">
      <c r="A74" s="413" t="s">
        <v>55</v>
      </c>
      <c r="B74" s="434"/>
      <c r="C74" s="434"/>
      <c r="D74" s="434"/>
      <c r="E74" s="434"/>
      <c r="F74" s="434"/>
      <c r="G74" s="434"/>
      <c r="H74" s="229"/>
      <c r="I74" s="229"/>
      <c r="J74" s="229"/>
      <c r="K74" s="229"/>
      <c r="L74" s="333">
        <f>'07_LESY'!L5</f>
        <v>0</v>
      </c>
      <c r="M74" s="333">
        <f>'07_LESY'!M5</f>
        <v>0</v>
      </c>
      <c r="N74" s="348"/>
    </row>
    <row r="75" spans="1:14" ht="18.5" x14ac:dyDescent="0.35">
      <c r="A75" s="413" t="s">
        <v>37</v>
      </c>
      <c r="B75" s="434"/>
      <c r="C75" s="434"/>
      <c r="D75" s="434"/>
      <c r="E75" s="434"/>
      <c r="F75" s="434"/>
      <c r="G75" s="434"/>
      <c r="H75" s="229"/>
      <c r="I75" s="229"/>
      <c r="J75" s="229"/>
      <c r="K75" s="229"/>
      <c r="L75" s="333">
        <f>'07_LESY'!L6</f>
        <v>0</v>
      </c>
      <c r="M75" s="333">
        <f>'07_LESY'!M6</f>
        <v>0</v>
      </c>
      <c r="N75" s="348"/>
    </row>
    <row r="76" spans="1:14" ht="18.5" x14ac:dyDescent="0.35">
      <c r="A76" s="413" t="s">
        <v>43</v>
      </c>
      <c r="B76" s="434"/>
      <c r="C76" s="434"/>
      <c r="D76" s="434"/>
      <c r="E76" s="434"/>
      <c r="F76" s="434"/>
      <c r="G76" s="434"/>
      <c r="H76" s="229"/>
      <c r="I76" s="229"/>
      <c r="J76" s="229"/>
      <c r="K76" s="229"/>
      <c r="L76" s="333">
        <f>'07_LESY'!L7</f>
        <v>0</v>
      </c>
      <c r="M76" s="333">
        <f>'07_LESY'!M7</f>
        <v>0</v>
      </c>
      <c r="N76" s="348"/>
    </row>
    <row r="77" spans="1:14" ht="18.5" x14ac:dyDescent="0.35">
      <c r="A77" s="413" t="s">
        <v>45</v>
      </c>
      <c r="B77" s="434"/>
      <c r="C77" s="434"/>
      <c r="D77" s="434"/>
      <c r="E77" s="434"/>
      <c r="F77" s="434"/>
      <c r="G77" s="434"/>
      <c r="H77" s="229"/>
      <c r="I77" s="229"/>
      <c r="J77" s="229"/>
      <c r="K77" s="229"/>
      <c r="L77" s="333">
        <f>'07_LESY'!L8</f>
        <v>0</v>
      </c>
      <c r="M77" s="333">
        <f>'07_LESY'!M8</f>
        <v>0</v>
      </c>
      <c r="N77" s="348"/>
    </row>
    <row r="78" spans="1:14" ht="18.5" x14ac:dyDescent="0.35">
      <c r="A78" s="413" t="s">
        <v>56</v>
      </c>
      <c r="B78" s="434"/>
      <c r="C78" s="434"/>
      <c r="D78" s="434"/>
      <c r="E78" s="434"/>
      <c r="F78" s="434"/>
      <c r="G78" s="434"/>
      <c r="H78" s="229"/>
      <c r="I78" s="229"/>
      <c r="J78" s="229"/>
      <c r="K78" s="229"/>
      <c r="L78" s="333">
        <f>'07_LESY'!L9</f>
        <v>0</v>
      </c>
      <c r="M78" s="333">
        <f>'07_LESY'!M9</f>
        <v>0</v>
      </c>
      <c r="N78" s="348"/>
    </row>
    <row r="79" spans="1:14" ht="19" thickBot="1" x14ac:dyDescent="0.4">
      <c r="A79" s="413" t="s">
        <v>57</v>
      </c>
      <c r="B79" s="434"/>
      <c r="C79" s="434"/>
      <c r="D79" s="434"/>
      <c r="E79" s="434"/>
      <c r="F79" s="434"/>
      <c r="G79" s="434"/>
      <c r="H79" s="229"/>
      <c r="I79" s="229"/>
      <c r="J79" s="229"/>
      <c r="K79" s="229"/>
      <c r="L79" s="333">
        <f>'07_LESY'!L10</f>
        <v>0</v>
      </c>
      <c r="M79" s="333">
        <f>'07_LESY'!M10</f>
        <v>0</v>
      </c>
      <c r="N79" s="302"/>
    </row>
    <row r="80" spans="1:14" ht="26.5" thickBot="1" x14ac:dyDescent="0.4">
      <c r="A80" s="445" t="s">
        <v>222</v>
      </c>
      <c r="B80" s="394"/>
      <c r="C80" s="394"/>
      <c r="D80" s="394"/>
      <c r="E80" s="394"/>
      <c r="F80" s="394"/>
      <c r="G80" s="394"/>
      <c r="H80" s="394"/>
      <c r="I80" s="394"/>
      <c r="J80" s="394"/>
      <c r="K80" s="446"/>
      <c r="L80" s="349">
        <f>SUM(L74:L79)</f>
        <v>0</v>
      </c>
      <c r="M80" s="349">
        <f>SUM(M74:M79)</f>
        <v>0</v>
      </c>
      <c r="N80" s="348"/>
    </row>
    <row r="81" spans="1:14" ht="26.5" thickBot="1" x14ac:dyDescent="0.4">
      <c r="A81" s="350"/>
      <c r="B81" s="351"/>
      <c r="C81" s="351"/>
      <c r="D81" s="351"/>
      <c r="E81" s="351"/>
      <c r="F81" s="351"/>
      <c r="G81" s="351"/>
      <c r="H81" s="351"/>
      <c r="I81" s="351"/>
      <c r="J81" s="351"/>
      <c r="K81" s="351"/>
      <c r="L81" s="351"/>
      <c r="M81" s="351"/>
      <c r="N81" s="352"/>
    </row>
    <row r="82" spans="1:14" ht="26.5" thickBot="1" x14ac:dyDescent="0.4">
      <c r="A82" s="437" t="s">
        <v>750</v>
      </c>
      <c r="B82" s="438"/>
      <c r="C82" s="438"/>
      <c r="D82" s="438"/>
      <c r="E82" s="438"/>
      <c r="F82" s="438"/>
      <c r="G82" s="438"/>
      <c r="H82" s="438"/>
      <c r="I82" s="438"/>
      <c r="J82" s="438"/>
      <c r="K82" s="439"/>
      <c r="L82" s="127" t="s">
        <v>7</v>
      </c>
      <c r="M82" s="127" t="s">
        <v>8</v>
      </c>
      <c r="N82" s="159"/>
    </row>
    <row r="83" spans="1:14" ht="18.5" x14ac:dyDescent="0.35">
      <c r="A83" s="413" t="s">
        <v>55</v>
      </c>
      <c r="B83" s="434"/>
      <c r="C83" s="434"/>
      <c r="D83" s="434"/>
      <c r="E83" s="434"/>
      <c r="F83" s="434"/>
      <c r="G83" s="434"/>
      <c r="H83" s="229"/>
      <c r="I83" s="229"/>
      <c r="J83" s="229"/>
      <c r="K83" s="229"/>
      <c r="L83" s="333">
        <f>'08_MRAVENIŠTĚ'!L5</f>
        <v>0</v>
      </c>
      <c r="M83" s="333">
        <f>'08_MRAVENIŠTĚ'!M5</f>
        <v>0</v>
      </c>
      <c r="N83" s="348"/>
    </row>
    <row r="84" spans="1:14" ht="18.5" x14ac:dyDescent="0.35">
      <c r="A84" s="413" t="s">
        <v>37</v>
      </c>
      <c r="B84" s="434"/>
      <c r="C84" s="434"/>
      <c r="D84" s="434"/>
      <c r="E84" s="434"/>
      <c r="F84" s="434"/>
      <c r="G84" s="434"/>
      <c r="H84" s="229"/>
      <c r="I84" s="229"/>
      <c r="J84" s="229"/>
      <c r="K84" s="229"/>
      <c r="L84" s="333">
        <f>'08_MRAVENIŠTĚ'!L6</f>
        <v>0</v>
      </c>
      <c r="M84" s="333">
        <f>'08_MRAVENIŠTĚ'!M6</f>
        <v>0</v>
      </c>
      <c r="N84" s="348"/>
    </row>
    <row r="85" spans="1:14" ht="18.5" x14ac:dyDescent="0.35">
      <c r="A85" s="413" t="s">
        <v>43</v>
      </c>
      <c r="B85" s="434"/>
      <c r="C85" s="434"/>
      <c r="D85" s="434"/>
      <c r="E85" s="434"/>
      <c r="F85" s="434"/>
      <c r="G85" s="434"/>
      <c r="H85" s="229"/>
      <c r="I85" s="229"/>
      <c r="J85" s="229"/>
      <c r="K85" s="229"/>
      <c r="L85" s="333">
        <f>'08_MRAVENIŠTĚ'!L7</f>
        <v>0</v>
      </c>
      <c r="M85" s="333">
        <f>'08_MRAVENIŠTĚ'!M7</f>
        <v>0</v>
      </c>
      <c r="N85" s="348"/>
    </row>
    <row r="86" spans="1:14" ht="18.5" x14ac:dyDescent="0.35">
      <c r="A86" s="413" t="s">
        <v>45</v>
      </c>
      <c r="B86" s="434"/>
      <c r="C86" s="434"/>
      <c r="D86" s="434"/>
      <c r="E86" s="434"/>
      <c r="F86" s="434"/>
      <c r="G86" s="434"/>
      <c r="H86" s="229"/>
      <c r="I86" s="229"/>
      <c r="J86" s="229"/>
      <c r="K86" s="229"/>
      <c r="L86" s="333">
        <f>'08_MRAVENIŠTĚ'!L8</f>
        <v>0</v>
      </c>
      <c r="M86" s="333">
        <f>'08_MRAVENIŠTĚ'!M8</f>
        <v>0</v>
      </c>
      <c r="N86" s="348"/>
    </row>
    <row r="87" spans="1:14" ht="18.5" x14ac:dyDescent="0.35">
      <c r="A87" s="413" t="s">
        <v>56</v>
      </c>
      <c r="B87" s="434"/>
      <c r="C87" s="434"/>
      <c r="D87" s="434"/>
      <c r="E87" s="434"/>
      <c r="F87" s="434"/>
      <c r="G87" s="434"/>
      <c r="H87" s="229"/>
      <c r="I87" s="229"/>
      <c r="J87" s="229"/>
      <c r="K87" s="229"/>
      <c r="L87" s="333">
        <f>'08_MRAVENIŠTĚ'!L9</f>
        <v>0</v>
      </c>
      <c r="M87" s="333">
        <f>'08_MRAVENIŠTĚ'!M9</f>
        <v>0</v>
      </c>
      <c r="N87" s="348"/>
    </row>
    <row r="88" spans="1:14" ht="19" thickBot="1" x14ac:dyDescent="0.4">
      <c r="A88" s="413" t="s">
        <v>57</v>
      </c>
      <c r="B88" s="434"/>
      <c r="C88" s="434"/>
      <c r="D88" s="434"/>
      <c r="E88" s="434"/>
      <c r="F88" s="434"/>
      <c r="G88" s="434"/>
      <c r="H88" s="229"/>
      <c r="I88" s="229"/>
      <c r="J88" s="229"/>
      <c r="K88" s="229"/>
      <c r="L88" s="333">
        <f>'08_MRAVENIŠTĚ'!L10</f>
        <v>0</v>
      </c>
      <c r="M88" s="333">
        <f>'08_MRAVENIŠTĚ'!M10</f>
        <v>0</v>
      </c>
      <c r="N88" s="302"/>
    </row>
    <row r="89" spans="1:14" ht="26.5" thickBot="1" x14ac:dyDescent="0.4">
      <c r="A89" s="445" t="s">
        <v>250</v>
      </c>
      <c r="B89" s="394"/>
      <c r="C89" s="394"/>
      <c r="D89" s="394"/>
      <c r="E89" s="394"/>
      <c r="F89" s="394"/>
      <c r="G89" s="394"/>
      <c r="H89" s="394"/>
      <c r="I89" s="394"/>
      <c r="J89" s="394"/>
      <c r="K89" s="446"/>
      <c r="L89" s="349">
        <f>SUM(L83:L88)</f>
        <v>0</v>
      </c>
      <c r="M89" s="349">
        <f>SUM(M83:M88)</f>
        <v>0</v>
      </c>
      <c r="N89" s="348"/>
    </row>
    <row r="90" spans="1:14" ht="26.5" thickBot="1" x14ac:dyDescent="0.4">
      <c r="A90" s="350"/>
      <c r="B90" s="351"/>
      <c r="C90" s="351"/>
      <c r="D90" s="351"/>
      <c r="E90" s="351"/>
      <c r="F90" s="351"/>
      <c r="G90" s="351"/>
      <c r="H90" s="351"/>
      <c r="I90" s="351"/>
      <c r="J90" s="351"/>
      <c r="K90" s="351"/>
      <c r="L90" s="351"/>
      <c r="M90" s="351"/>
      <c r="N90" s="352"/>
    </row>
    <row r="91" spans="1:14" ht="26.5" thickBot="1" x14ac:dyDescent="0.4">
      <c r="A91" s="437" t="s">
        <v>751</v>
      </c>
      <c r="B91" s="438"/>
      <c r="C91" s="438"/>
      <c r="D91" s="438"/>
      <c r="E91" s="438"/>
      <c r="F91" s="438"/>
      <c r="G91" s="438"/>
      <c r="H91" s="438"/>
      <c r="I91" s="438"/>
      <c r="J91" s="438"/>
      <c r="K91" s="439"/>
      <c r="L91" s="127" t="s">
        <v>7</v>
      </c>
      <c r="M91" s="127" t="s">
        <v>8</v>
      </c>
      <c r="N91" s="159"/>
    </row>
    <row r="92" spans="1:14" ht="18.5" x14ac:dyDescent="0.35">
      <c r="A92" s="413" t="s">
        <v>55</v>
      </c>
      <c r="B92" s="434"/>
      <c r="C92" s="434"/>
      <c r="D92" s="434"/>
      <c r="E92" s="434"/>
      <c r="F92" s="434"/>
      <c r="G92" s="434"/>
      <c r="H92" s="229"/>
      <c r="I92" s="229"/>
      <c r="J92" s="229"/>
      <c r="K92" s="229"/>
      <c r="L92" s="333">
        <f>'09_GOTIKA'!L5</f>
        <v>0</v>
      </c>
      <c r="M92" s="333">
        <f>'09_GOTIKA'!M5</f>
        <v>0</v>
      </c>
      <c r="N92" s="348"/>
    </row>
    <row r="93" spans="1:14" ht="18.5" x14ac:dyDescent="0.35">
      <c r="A93" s="413" t="s">
        <v>37</v>
      </c>
      <c r="B93" s="434"/>
      <c r="C93" s="434"/>
      <c r="D93" s="434"/>
      <c r="E93" s="434"/>
      <c r="F93" s="434"/>
      <c r="G93" s="434"/>
      <c r="H93" s="229"/>
      <c r="I93" s="229"/>
      <c r="J93" s="229"/>
      <c r="K93" s="229"/>
      <c r="L93" s="333">
        <f>'09_GOTIKA'!L6</f>
        <v>0</v>
      </c>
      <c r="M93" s="333">
        <f>'09_GOTIKA'!M6</f>
        <v>0</v>
      </c>
      <c r="N93" s="348"/>
    </row>
    <row r="94" spans="1:14" ht="18.5" x14ac:dyDescent="0.35">
      <c r="A94" s="413" t="s">
        <v>43</v>
      </c>
      <c r="B94" s="434"/>
      <c r="C94" s="434"/>
      <c r="D94" s="434"/>
      <c r="E94" s="434"/>
      <c r="F94" s="434"/>
      <c r="G94" s="434"/>
      <c r="H94" s="229"/>
      <c r="I94" s="229"/>
      <c r="J94" s="229"/>
      <c r="K94" s="229"/>
      <c r="L94" s="333">
        <f>'09_GOTIKA'!L7</f>
        <v>0</v>
      </c>
      <c r="M94" s="333">
        <f>'09_GOTIKA'!M7</f>
        <v>0</v>
      </c>
      <c r="N94" s="348"/>
    </row>
    <row r="95" spans="1:14" ht="18.5" x14ac:dyDescent="0.35">
      <c r="A95" s="413" t="s">
        <v>45</v>
      </c>
      <c r="B95" s="434"/>
      <c r="C95" s="434"/>
      <c r="D95" s="434"/>
      <c r="E95" s="434"/>
      <c r="F95" s="434"/>
      <c r="G95" s="434"/>
      <c r="H95" s="229"/>
      <c r="I95" s="229"/>
      <c r="J95" s="229"/>
      <c r="K95" s="229"/>
      <c r="L95" s="333">
        <f>'09_GOTIKA'!L8</f>
        <v>0</v>
      </c>
      <c r="M95" s="333">
        <f>'09_GOTIKA'!M8</f>
        <v>0</v>
      </c>
      <c r="N95" s="348"/>
    </row>
    <row r="96" spans="1:14" ht="18.5" x14ac:dyDescent="0.35">
      <c r="A96" s="413" t="s">
        <v>56</v>
      </c>
      <c r="B96" s="434"/>
      <c r="C96" s="434"/>
      <c r="D96" s="434"/>
      <c r="E96" s="434"/>
      <c r="F96" s="434"/>
      <c r="G96" s="434"/>
      <c r="H96" s="229"/>
      <c r="I96" s="229"/>
      <c r="J96" s="229"/>
      <c r="K96" s="229"/>
      <c r="L96" s="333">
        <f>'09_GOTIKA'!L9</f>
        <v>0</v>
      </c>
      <c r="M96" s="333">
        <f>'09_GOTIKA'!M9</f>
        <v>0</v>
      </c>
      <c r="N96" s="348"/>
    </row>
    <row r="97" spans="1:14" ht="19" thickBot="1" x14ac:dyDescent="0.4">
      <c r="A97" s="413" t="s">
        <v>57</v>
      </c>
      <c r="B97" s="434"/>
      <c r="C97" s="434"/>
      <c r="D97" s="434"/>
      <c r="E97" s="434"/>
      <c r="F97" s="434"/>
      <c r="G97" s="434"/>
      <c r="H97" s="229"/>
      <c r="I97" s="229"/>
      <c r="J97" s="229"/>
      <c r="K97" s="229"/>
      <c r="L97" s="333">
        <f>'09_GOTIKA'!L10</f>
        <v>0</v>
      </c>
      <c r="M97" s="333">
        <f>'09_GOTIKA'!M10</f>
        <v>0</v>
      </c>
      <c r="N97" s="302"/>
    </row>
    <row r="98" spans="1:14" ht="26.5" thickBot="1" x14ac:dyDescent="0.4">
      <c r="A98" s="445" t="s">
        <v>263</v>
      </c>
      <c r="B98" s="394"/>
      <c r="C98" s="394"/>
      <c r="D98" s="394"/>
      <c r="E98" s="394"/>
      <c r="F98" s="394"/>
      <c r="G98" s="394"/>
      <c r="H98" s="394"/>
      <c r="I98" s="394"/>
      <c r="J98" s="394"/>
      <c r="K98" s="446"/>
      <c r="L98" s="349">
        <f>SUM(L92:L97)</f>
        <v>0</v>
      </c>
      <c r="M98" s="349">
        <f>SUM(M92:M97)</f>
        <v>0</v>
      </c>
      <c r="N98" s="348"/>
    </row>
    <row r="99" spans="1:14" ht="26.5" thickBot="1" x14ac:dyDescent="0.4">
      <c r="A99" s="350"/>
      <c r="B99" s="351"/>
      <c r="C99" s="351"/>
      <c r="D99" s="351"/>
      <c r="E99" s="351"/>
      <c r="F99" s="351"/>
      <c r="G99" s="351"/>
      <c r="H99" s="351"/>
      <c r="I99" s="351"/>
      <c r="J99" s="351"/>
      <c r="K99" s="351"/>
      <c r="L99" s="351"/>
      <c r="M99" s="351"/>
      <c r="N99" s="352"/>
    </row>
    <row r="100" spans="1:14" ht="26.5" thickBot="1" x14ac:dyDescent="0.4">
      <c r="A100" s="437" t="s">
        <v>752</v>
      </c>
      <c r="B100" s="438"/>
      <c r="C100" s="438"/>
      <c r="D100" s="438"/>
      <c r="E100" s="438"/>
      <c r="F100" s="438"/>
      <c r="G100" s="438"/>
      <c r="H100" s="438"/>
      <c r="I100" s="438"/>
      <c r="J100" s="438"/>
      <c r="K100" s="439"/>
      <c r="L100" s="131" t="s">
        <v>7</v>
      </c>
      <c r="M100" s="131" t="s">
        <v>8</v>
      </c>
      <c r="N100" s="159"/>
    </row>
    <row r="101" spans="1:14" ht="18.5" x14ac:dyDescent="0.35">
      <c r="A101" s="413" t="s">
        <v>55</v>
      </c>
      <c r="B101" s="434"/>
      <c r="C101" s="434"/>
      <c r="D101" s="434"/>
      <c r="E101" s="434"/>
      <c r="F101" s="434"/>
      <c r="G101" s="434"/>
      <c r="H101" s="229"/>
      <c r="I101" s="229"/>
      <c r="J101" s="229"/>
      <c r="K101" s="229"/>
      <c r="L101" s="333">
        <f>'10_JIHLAVSKÉ CECHY'!L5</f>
        <v>0</v>
      </c>
      <c r="M101" s="333">
        <f>'10_JIHLAVSKÉ CECHY'!M5</f>
        <v>0</v>
      </c>
      <c r="N101" s="348"/>
    </row>
    <row r="102" spans="1:14" ht="18.5" x14ac:dyDescent="0.35">
      <c r="A102" s="413" t="s">
        <v>37</v>
      </c>
      <c r="B102" s="434"/>
      <c r="C102" s="434"/>
      <c r="D102" s="434"/>
      <c r="E102" s="434"/>
      <c r="F102" s="434"/>
      <c r="G102" s="434"/>
      <c r="H102" s="229"/>
      <c r="I102" s="229"/>
      <c r="J102" s="229"/>
      <c r="K102" s="229"/>
      <c r="L102" s="333">
        <f>'10_JIHLAVSKÉ CECHY'!L6</f>
        <v>0</v>
      </c>
      <c r="M102" s="333">
        <f>'10_JIHLAVSKÉ CECHY'!M6</f>
        <v>0</v>
      </c>
      <c r="N102" s="348"/>
    </row>
    <row r="103" spans="1:14" ht="18.5" x14ac:dyDescent="0.35">
      <c r="A103" s="413" t="s">
        <v>43</v>
      </c>
      <c r="B103" s="434"/>
      <c r="C103" s="434"/>
      <c r="D103" s="434"/>
      <c r="E103" s="434"/>
      <c r="F103" s="434"/>
      <c r="G103" s="434"/>
      <c r="H103" s="229"/>
      <c r="I103" s="229"/>
      <c r="J103" s="229"/>
      <c r="K103" s="229"/>
      <c r="L103" s="333">
        <f>'10_JIHLAVSKÉ CECHY'!L7</f>
        <v>0</v>
      </c>
      <c r="M103" s="333">
        <f>'10_JIHLAVSKÉ CECHY'!M7</f>
        <v>0</v>
      </c>
      <c r="N103" s="348"/>
    </row>
    <row r="104" spans="1:14" ht="18.5" x14ac:dyDescent="0.35">
      <c r="A104" s="413" t="s">
        <v>45</v>
      </c>
      <c r="B104" s="434"/>
      <c r="C104" s="434"/>
      <c r="D104" s="434"/>
      <c r="E104" s="434"/>
      <c r="F104" s="434"/>
      <c r="G104" s="434"/>
      <c r="H104" s="229"/>
      <c r="I104" s="229"/>
      <c r="J104" s="229"/>
      <c r="K104" s="229"/>
      <c r="L104" s="333">
        <f>'10_JIHLAVSKÉ CECHY'!L8</f>
        <v>0</v>
      </c>
      <c r="M104" s="333">
        <f>'10_JIHLAVSKÉ CECHY'!M8</f>
        <v>0</v>
      </c>
      <c r="N104" s="348"/>
    </row>
    <row r="105" spans="1:14" ht="18.5" x14ac:dyDescent="0.35">
      <c r="A105" s="413" t="s">
        <v>56</v>
      </c>
      <c r="B105" s="434"/>
      <c r="C105" s="434"/>
      <c r="D105" s="434"/>
      <c r="E105" s="434"/>
      <c r="F105" s="434"/>
      <c r="G105" s="434"/>
      <c r="H105" s="229"/>
      <c r="I105" s="229"/>
      <c r="J105" s="229"/>
      <c r="K105" s="229"/>
      <c r="L105" s="333">
        <f>'10_JIHLAVSKÉ CECHY'!L9</f>
        <v>0</v>
      </c>
      <c r="M105" s="333">
        <f>'10_JIHLAVSKÉ CECHY'!M9</f>
        <v>0</v>
      </c>
      <c r="N105" s="348"/>
    </row>
    <row r="106" spans="1:14" ht="19" thickBot="1" x14ac:dyDescent="0.4">
      <c r="A106" s="413" t="s">
        <v>57</v>
      </c>
      <c r="B106" s="434"/>
      <c r="C106" s="434"/>
      <c r="D106" s="434"/>
      <c r="E106" s="434"/>
      <c r="F106" s="434"/>
      <c r="G106" s="434"/>
      <c r="H106" s="229"/>
      <c r="I106" s="229"/>
      <c r="J106" s="229"/>
      <c r="K106" s="229"/>
      <c r="L106" s="333">
        <f>'10_JIHLAVSKÉ CECHY'!L10</f>
        <v>0</v>
      </c>
      <c r="M106" s="333">
        <f>'10_JIHLAVSKÉ CECHY'!M10</f>
        <v>0</v>
      </c>
      <c r="N106" s="302"/>
    </row>
    <row r="107" spans="1:14" ht="26.5" thickBot="1" x14ac:dyDescent="0.4">
      <c r="A107" s="445" t="s">
        <v>235</v>
      </c>
      <c r="B107" s="394"/>
      <c r="C107" s="394"/>
      <c r="D107" s="394"/>
      <c r="E107" s="394"/>
      <c r="F107" s="394"/>
      <c r="G107" s="394"/>
      <c r="H107" s="394"/>
      <c r="I107" s="394"/>
      <c r="J107" s="394"/>
      <c r="K107" s="446"/>
      <c r="L107" s="349">
        <f>SUM(L101:L106)</f>
        <v>0</v>
      </c>
      <c r="M107" s="349">
        <f>SUM(M101:M106)</f>
        <v>0</v>
      </c>
      <c r="N107" s="348"/>
    </row>
    <row r="108" spans="1:14" ht="26.5" thickBot="1" x14ac:dyDescent="0.4">
      <c r="A108" s="350"/>
      <c r="B108" s="351"/>
      <c r="C108" s="351"/>
      <c r="D108" s="351"/>
      <c r="E108" s="351"/>
      <c r="F108" s="351"/>
      <c r="G108" s="351"/>
      <c r="H108" s="351"/>
      <c r="I108" s="351"/>
      <c r="J108" s="351"/>
      <c r="K108" s="351"/>
      <c r="L108" s="351"/>
      <c r="M108" s="351"/>
      <c r="N108" s="352"/>
    </row>
    <row r="109" spans="1:14" ht="26.5" thickBot="1" x14ac:dyDescent="0.4">
      <c r="A109" s="437" t="s">
        <v>753</v>
      </c>
      <c r="B109" s="438"/>
      <c r="C109" s="438"/>
      <c r="D109" s="438"/>
      <c r="E109" s="438"/>
      <c r="F109" s="438"/>
      <c r="G109" s="438"/>
      <c r="H109" s="438"/>
      <c r="I109" s="438"/>
      <c r="J109" s="438"/>
      <c r="K109" s="439"/>
      <c r="L109" s="127" t="s">
        <v>7</v>
      </c>
      <c r="M109" s="127" t="s">
        <v>8</v>
      </c>
      <c r="N109" s="159"/>
    </row>
    <row r="110" spans="1:14" ht="18.5" x14ac:dyDescent="0.35">
      <c r="A110" s="413" t="s">
        <v>55</v>
      </c>
      <c r="B110" s="434"/>
      <c r="C110" s="434"/>
      <c r="D110" s="434"/>
      <c r="E110" s="434"/>
      <c r="F110" s="434"/>
      <c r="G110" s="434"/>
      <c r="H110" s="229"/>
      <c r="I110" s="229"/>
      <c r="J110" s="229"/>
      <c r="K110" s="229"/>
      <c r="L110" s="333">
        <f>'11_RENESANCE'!L5</f>
        <v>0</v>
      </c>
      <c r="M110" s="333">
        <f>'11_RENESANCE'!M5</f>
        <v>0</v>
      </c>
      <c r="N110" s="348"/>
    </row>
    <row r="111" spans="1:14" ht="18.5" x14ac:dyDescent="0.35">
      <c r="A111" s="413" t="s">
        <v>37</v>
      </c>
      <c r="B111" s="434"/>
      <c r="C111" s="434"/>
      <c r="D111" s="434"/>
      <c r="E111" s="434"/>
      <c r="F111" s="434"/>
      <c r="G111" s="434"/>
      <c r="H111" s="229"/>
      <c r="I111" s="229"/>
      <c r="J111" s="229"/>
      <c r="K111" s="229"/>
      <c r="L111" s="333">
        <f>'11_RENESANCE'!L6</f>
        <v>0</v>
      </c>
      <c r="M111" s="333">
        <f>'11_RENESANCE'!M6</f>
        <v>0</v>
      </c>
      <c r="N111" s="348"/>
    </row>
    <row r="112" spans="1:14" ht="18.5" x14ac:dyDescent="0.35">
      <c r="A112" s="413" t="s">
        <v>43</v>
      </c>
      <c r="B112" s="434"/>
      <c r="C112" s="434"/>
      <c r="D112" s="434"/>
      <c r="E112" s="434"/>
      <c r="F112" s="434"/>
      <c r="G112" s="434"/>
      <c r="H112" s="229"/>
      <c r="I112" s="229"/>
      <c r="J112" s="229"/>
      <c r="K112" s="229"/>
      <c r="L112" s="333">
        <f>'11_RENESANCE'!L7</f>
        <v>0</v>
      </c>
      <c r="M112" s="333">
        <f>'11_RENESANCE'!M7</f>
        <v>0</v>
      </c>
      <c r="N112" s="348"/>
    </row>
    <row r="113" spans="1:14" ht="18.5" x14ac:dyDescent="0.35">
      <c r="A113" s="413" t="s">
        <v>45</v>
      </c>
      <c r="B113" s="434"/>
      <c r="C113" s="434"/>
      <c r="D113" s="434"/>
      <c r="E113" s="434"/>
      <c r="F113" s="434"/>
      <c r="G113" s="434"/>
      <c r="H113" s="229"/>
      <c r="I113" s="229"/>
      <c r="J113" s="229"/>
      <c r="K113" s="229"/>
      <c r="L113" s="333">
        <f>'11_RENESANCE'!L8</f>
        <v>0</v>
      </c>
      <c r="M113" s="333">
        <f>'11_RENESANCE'!M8</f>
        <v>0</v>
      </c>
      <c r="N113" s="348"/>
    </row>
    <row r="114" spans="1:14" ht="18.5" x14ac:dyDescent="0.35">
      <c r="A114" s="413" t="s">
        <v>56</v>
      </c>
      <c r="B114" s="434"/>
      <c r="C114" s="434"/>
      <c r="D114" s="434"/>
      <c r="E114" s="434"/>
      <c r="F114" s="434"/>
      <c r="G114" s="434"/>
      <c r="H114" s="229"/>
      <c r="I114" s="229"/>
      <c r="J114" s="229"/>
      <c r="K114" s="229"/>
      <c r="L114" s="333">
        <f>'11_RENESANCE'!L9</f>
        <v>0</v>
      </c>
      <c r="M114" s="333">
        <f>'11_RENESANCE'!M9</f>
        <v>0</v>
      </c>
      <c r="N114" s="348"/>
    </row>
    <row r="115" spans="1:14" ht="19" thickBot="1" x14ac:dyDescent="0.4">
      <c r="A115" s="413" t="s">
        <v>57</v>
      </c>
      <c r="B115" s="434"/>
      <c r="C115" s="434"/>
      <c r="D115" s="434"/>
      <c r="E115" s="434"/>
      <c r="F115" s="434"/>
      <c r="G115" s="434"/>
      <c r="H115" s="229"/>
      <c r="I115" s="229"/>
      <c r="J115" s="229"/>
      <c r="K115" s="229"/>
      <c r="L115" s="333">
        <f>'11_RENESANCE'!L10</f>
        <v>0</v>
      </c>
      <c r="M115" s="333">
        <f>'11_RENESANCE'!M10</f>
        <v>0</v>
      </c>
      <c r="N115" s="302"/>
    </row>
    <row r="116" spans="1:14" ht="26.5" thickBot="1" x14ac:dyDescent="0.4">
      <c r="A116" s="445" t="s">
        <v>58</v>
      </c>
      <c r="B116" s="394"/>
      <c r="C116" s="394"/>
      <c r="D116" s="394"/>
      <c r="E116" s="394"/>
      <c r="F116" s="394"/>
      <c r="G116" s="394"/>
      <c r="H116" s="394"/>
      <c r="I116" s="394"/>
      <c r="J116" s="394"/>
      <c r="K116" s="446"/>
      <c r="L116" s="349">
        <f>SUM(L110:L115)</f>
        <v>0</v>
      </c>
      <c r="M116" s="349">
        <f>SUM(M110:M115)</f>
        <v>0</v>
      </c>
      <c r="N116" s="348"/>
    </row>
    <row r="117" spans="1:14" ht="26.5" thickBot="1" x14ac:dyDescent="0.4">
      <c r="A117" s="350"/>
      <c r="B117" s="351"/>
      <c r="C117" s="351"/>
      <c r="D117" s="351"/>
      <c r="E117" s="351"/>
      <c r="F117" s="351"/>
      <c r="G117" s="351"/>
      <c r="H117" s="351"/>
      <c r="I117" s="351"/>
      <c r="J117" s="351"/>
      <c r="K117" s="351"/>
      <c r="L117" s="351"/>
      <c r="M117" s="351"/>
      <c r="N117" s="352"/>
    </row>
    <row r="118" spans="1:14" ht="26.5" thickBot="1" x14ac:dyDescent="0.4">
      <c r="A118" s="437" t="s">
        <v>754</v>
      </c>
      <c r="B118" s="438"/>
      <c r="C118" s="438"/>
      <c r="D118" s="438"/>
      <c r="E118" s="438"/>
      <c r="F118" s="438"/>
      <c r="G118" s="438"/>
      <c r="H118" s="438"/>
      <c r="I118" s="438"/>
      <c r="J118" s="438"/>
      <c r="K118" s="439"/>
      <c r="L118" s="127" t="s">
        <v>7</v>
      </c>
      <c r="M118" s="127" t="s">
        <v>8</v>
      </c>
      <c r="N118" s="159"/>
    </row>
    <row r="119" spans="1:14" ht="18.5" x14ac:dyDescent="0.35">
      <c r="A119" s="413" t="s">
        <v>55</v>
      </c>
      <c r="B119" s="434"/>
      <c r="C119" s="434"/>
      <c r="D119" s="434"/>
      <c r="E119" s="434"/>
      <c r="F119" s="434"/>
      <c r="G119" s="434"/>
      <c r="H119" s="229"/>
      <c r="I119" s="229"/>
      <c r="J119" s="229"/>
      <c r="K119" s="229"/>
      <c r="L119" s="333">
        <f>'12_BAROKO'!L5</f>
        <v>0</v>
      </c>
      <c r="M119" s="333">
        <f>'12_BAROKO'!M5</f>
        <v>0</v>
      </c>
      <c r="N119" s="348"/>
    </row>
    <row r="120" spans="1:14" ht="18.5" x14ac:dyDescent="0.35">
      <c r="A120" s="413" t="s">
        <v>37</v>
      </c>
      <c r="B120" s="434"/>
      <c r="C120" s="434"/>
      <c r="D120" s="434"/>
      <c r="E120" s="434"/>
      <c r="F120" s="434"/>
      <c r="G120" s="434"/>
      <c r="H120" s="229"/>
      <c r="I120" s="229"/>
      <c r="J120" s="229"/>
      <c r="K120" s="229"/>
      <c r="L120" s="333">
        <f>'12_BAROKO'!L6</f>
        <v>0</v>
      </c>
      <c r="M120" s="333">
        <f>'12_BAROKO'!M6</f>
        <v>0</v>
      </c>
      <c r="N120" s="348"/>
    </row>
    <row r="121" spans="1:14" ht="18.5" x14ac:dyDescent="0.35">
      <c r="A121" s="413" t="s">
        <v>43</v>
      </c>
      <c r="B121" s="434"/>
      <c r="C121" s="434"/>
      <c r="D121" s="434"/>
      <c r="E121" s="434"/>
      <c r="F121" s="434"/>
      <c r="G121" s="434"/>
      <c r="H121" s="229"/>
      <c r="I121" s="229"/>
      <c r="J121" s="229"/>
      <c r="K121" s="229"/>
      <c r="L121" s="333">
        <f>'12_BAROKO'!L7</f>
        <v>0</v>
      </c>
      <c r="M121" s="333">
        <f>'12_BAROKO'!M7</f>
        <v>0</v>
      </c>
      <c r="N121" s="348"/>
    </row>
    <row r="122" spans="1:14" ht="18.5" x14ac:dyDescent="0.35">
      <c r="A122" s="413" t="s">
        <v>45</v>
      </c>
      <c r="B122" s="434"/>
      <c r="C122" s="434"/>
      <c r="D122" s="434"/>
      <c r="E122" s="434"/>
      <c r="F122" s="434"/>
      <c r="G122" s="434"/>
      <c r="H122" s="229"/>
      <c r="I122" s="229"/>
      <c r="J122" s="229"/>
      <c r="K122" s="229"/>
      <c r="L122" s="333">
        <f>'12_BAROKO'!L8</f>
        <v>0</v>
      </c>
      <c r="M122" s="333">
        <f>'12_BAROKO'!M8</f>
        <v>0</v>
      </c>
      <c r="N122" s="348"/>
    </row>
    <row r="123" spans="1:14" ht="18.5" x14ac:dyDescent="0.35">
      <c r="A123" s="413" t="s">
        <v>56</v>
      </c>
      <c r="B123" s="434"/>
      <c r="C123" s="434"/>
      <c r="D123" s="434"/>
      <c r="E123" s="434"/>
      <c r="F123" s="434"/>
      <c r="G123" s="434"/>
      <c r="H123" s="229"/>
      <c r="I123" s="229"/>
      <c r="J123" s="229"/>
      <c r="K123" s="229"/>
      <c r="L123" s="333">
        <f>'12_BAROKO'!L9</f>
        <v>0</v>
      </c>
      <c r="M123" s="333">
        <f>'12_BAROKO'!M9</f>
        <v>0</v>
      </c>
      <c r="N123" s="348"/>
    </row>
    <row r="124" spans="1:14" ht="19" thickBot="1" x14ac:dyDescent="0.4">
      <c r="A124" s="413" t="s">
        <v>57</v>
      </c>
      <c r="B124" s="434"/>
      <c r="C124" s="434"/>
      <c r="D124" s="434"/>
      <c r="E124" s="434"/>
      <c r="F124" s="434"/>
      <c r="G124" s="434"/>
      <c r="H124" s="229"/>
      <c r="I124" s="229"/>
      <c r="J124" s="229"/>
      <c r="K124" s="229"/>
      <c r="L124" s="333">
        <f>'12_BAROKO'!L10</f>
        <v>0</v>
      </c>
      <c r="M124" s="333">
        <f>'12_BAROKO'!M10</f>
        <v>0</v>
      </c>
      <c r="N124" s="331"/>
    </row>
    <row r="125" spans="1:14" ht="26.5" thickBot="1" x14ac:dyDescent="0.4">
      <c r="A125" s="445" t="s">
        <v>87</v>
      </c>
      <c r="B125" s="394"/>
      <c r="C125" s="394"/>
      <c r="D125" s="394"/>
      <c r="E125" s="394"/>
      <c r="F125" s="394"/>
      <c r="G125" s="394"/>
      <c r="H125" s="394"/>
      <c r="I125" s="394"/>
      <c r="J125" s="394"/>
      <c r="K125" s="446"/>
      <c r="L125" s="349">
        <f>SUM(L119:L124)</f>
        <v>0</v>
      </c>
      <c r="M125" s="349">
        <f>SUM(M119:M124)</f>
        <v>0</v>
      </c>
      <c r="N125" s="348"/>
    </row>
    <row r="126" spans="1:14" ht="26.5" thickBot="1" x14ac:dyDescent="0.4">
      <c r="A126" s="350"/>
      <c r="B126" s="353"/>
      <c r="C126" s="353"/>
      <c r="D126" s="353"/>
      <c r="E126" s="353"/>
      <c r="F126" s="353"/>
      <c r="G126" s="353"/>
      <c r="H126" s="353"/>
      <c r="I126" s="353"/>
      <c r="J126" s="353"/>
      <c r="K126" s="353"/>
      <c r="L126" s="353"/>
      <c r="M126" s="353"/>
      <c r="N126" s="354"/>
    </row>
    <row r="127" spans="1:14" ht="26.5" thickBot="1" x14ac:dyDescent="0.4">
      <c r="A127" s="437" t="s">
        <v>755</v>
      </c>
      <c r="B127" s="438"/>
      <c r="C127" s="438"/>
      <c r="D127" s="438"/>
      <c r="E127" s="438"/>
      <c r="F127" s="438"/>
      <c r="G127" s="438"/>
      <c r="H127" s="438"/>
      <c r="I127" s="438"/>
      <c r="J127" s="438"/>
      <c r="K127" s="439"/>
      <c r="L127" s="127" t="s">
        <v>7</v>
      </c>
      <c r="M127" s="127" t="s">
        <v>8</v>
      </c>
      <c r="N127" s="159"/>
    </row>
    <row r="128" spans="1:14" ht="18.5" x14ac:dyDescent="0.35">
      <c r="A128" s="413" t="s">
        <v>55</v>
      </c>
      <c r="B128" s="434"/>
      <c r="C128" s="434"/>
      <c r="D128" s="434"/>
      <c r="E128" s="434"/>
      <c r="F128" s="434"/>
      <c r="G128" s="434"/>
      <c r="H128" s="229"/>
      <c r="I128" s="229"/>
      <c r="J128" s="229"/>
      <c r="K128" s="229"/>
      <c r="L128" s="333">
        <f>'13_19.STOLETÍ'!L5</f>
        <v>0</v>
      </c>
      <c r="M128" s="333">
        <f>'13_19.STOLETÍ'!M5</f>
        <v>0</v>
      </c>
      <c r="N128" s="348"/>
    </row>
    <row r="129" spans="1:14" ht="18.5" x14ac:dyDescent="0.35">
      <c r="A129" s="413" t="s">
        <v>37</v>
      </c>
      <c r="B129" s="434"/>
      <c r="C129" s="434"/>
      <c r="D129" s="434"/>
      <c r="E129" s="434"/>
      <c r="F129" s="434"/>
      <c r="G129" s="434"/>
      <c r="H129" s="229"/>
      <c r="I129" s="229"/>
      <c r="J129" s="229"/>
      <c r="K129" s="229"/>
      <c r="L129" s="333">
        <f>'13_19.STOLETÍ'!L6</f>
        <v>0</v>
      </c>
      <c r="M129" s="333">
        <f>'13_19.STOLETÍ'!M6</f>
        <v>0</v>
      </c>
      <c r="N129" s="348"/>
    </row>
    <row r="130" spans="1:14" ht="18.5" x14ac:dyDescent="0.35">
      <c r="A130" s="413" t="s">
        <v>43</v>
      </c>
      <c r="B130" s="434"/>
      <c r="C130" s="434"/>
      <c r="D130" s="434"/>
      <c r="E130" s="434"/>
      <c r="F130" s="434"/>
      <c r="G130" s="434"/>
      <c r="H130" s="229"/>
      <c r="I130" s="229"/>
      <c r="J130" s="229"/>
      <c r="K130" s="229"/>
      <c r="L130" s="333">
        <f>'13_19.STOLETÍ'!L7</f>
        <v>0</v>
      </c>
      <c r="M130" s="333">
        <f>'13_19.STOLETÍ'!M7</f>
        <v>0</v>
      </c>
      <c r="N130" s="348"/>
    </row>
    <row r="131" spans="1:14" ht="18.5" x14ac:dyDescent="0.35">
      <c r="A131" s="413" t="s">
        <v>45</v>
      </c>
      <c r="B131" s="434"/>
      <c r="C131" s="434"/>
      <c r="D131" s="434"/>
      <c r="E131" s="434"/>
      <c r="F131" s="434"/>
      <c r="G131" s="434"/>
      <c r="H131" s="229"/>
      <c r="I131" s="229"/>
      <c r="J131" s="229"/>
      <c r="K131" s="229"/>
      <c r="L131" s="333">
        <f>'13_19.STOLETÍ'!L8</f>
        <v>0</v>
      </c>
      <c r="M131" s="333">
        <f>'13_19.STOLETÍ'!M8</f>
        <v>0</v>
      </c>
      <c r="N131" s="348"/>
    </row>
    <row r="132" spans="1:14" ht="18.5" x14ac:dyDescent="0.35">
      <c r="A132" s="413" t="s">
        <v>56</v>
      </c>
      <c r="B132" s="434"/>
      <c r="C132" s="434"/>
      <c r="D132" s="434"/>
      <c r="E132" s="434"/>
      <c r="F132" s="434"/>
      <c r="G132" s="434"/>
      <c r="H132" s="229"/>
      <c r="I132" s="229"/>
      <c r="J132" s="229"/>
      <c r="K132" s="229"/>
      <c r="L132" s="333">
        <f>'13_19.STOLETÍ'!L9</f>
        <v>0</v>
      </c>
      <c r="M132" s="333">
        <f>'13_19.STOLETÍ'!M9</f>
        <v>0</v>
      </c>
      <c r="N132" s="348"/>
    </row>
    <row r="133" spans="1:14" ht="19" thickBot="1" x14ac:dyDescent="0.4">
      <c r="A133" s="413" t="s">
        <v>57</v>
      </c>
      <c r="B133" s="434"/>
      <c r="C133" s="434"/>
      <c r="D133" s="434"/>
      <c r="E133" s="434"/>
      <c r="F133" s="434"/>
      <c r="G133" s="434"/>
      <c r="H133" s="229"/>
      <c r="I133" s="229"/>
      <c r="J133" s="229"/>
      <c r="K133" s="229"/>
      <c r="L133" s="333">
        <f>'13_19.STOLETÍ'!L10</f>
        <v>0</v>
      </c>
      <c r="M133" s="333">
        <f>'13_19.STOLETÍ'!M10</f>
        <v>0</v>
      </c>
      <c r="N133" s="302"/>
    </row>
    <row r="134" spans="1:14" ht="26.5" thickBot="1" x14ac:dyDescent="0.4">
      <c r="A134" s="445" t="s">
        <v>737</v>
      </c>
      <c r="B134" s="394"/>
      <c r="C134" s="394"/>
      <c r="D134" s="394"/>
      <c r="E134" s="394"/>
      <c r="F134" s="394"/>
      <c r="G134" s="394"/>
      <c r="H134" s="394"/>
      <c r="I134" s="394"/>
      <c r="J134" s="394"/>
      <c r="K134" s="446"/>
      <c r="L134" s="349">
        <f>SUM(L128:L133)</f>
        <v>0</v>
      </c>
      <c r="M134" s="349">
        <f>SUM(M128:M133)</f>
        <v>0</v>
      </c>
      <c r="N134" s="348"/>
    </row>
    <row r="135" spans="1:14" ht="26.5" thickBot="1" x14ac:dyDescent="0.4">
      <c r="A135" s="350"/>
      <c r="B135" s="351"/>
      <c r="C135" s="351"/>
      <c r="D135" s="351"/>
      <c r="E135" s="351"/>
      <c r="F135" s="351"/>
      <c r="G135" s="351"/>
      <c r="H135" s="351"/>
      <c r="I135" s="351"/>
      <c r="J135" s="351"/>
      <c r="K135" s="351"/>
      <c r="L135" s="351"/>
      <c r="M135" s="351"/>
      <c r="N135" s="352"/>
    </row>
    <row r="136" spans="1:14" ht="26.5" thickBot="1" x14ac:dyDescent="0.4">
      <c r="A136" s="437" t="s">
        <v>756</v>
      </c>
      <c r="B136" s="438"/>
      <c r="C136" s="438"/>
      <c r="D136" s="438"/>
      <c r="E136" s="438"/>
      <c r="F136" s="438"/>
      <c r="G136" s="438"/>
      <c r="H136" s="438"/>
      <c r="I136" s="438"/>
      <c r="J136" s="438"/>
      <c r="K136" s="439"/>
      <c r="L136" s="127" t="s">
        <v>7</v>
      </c>
      <c r="M136" s="127" t="s">
        <v>8</v>
      </c>
      <c r="N136" s="159"/>
    </row>
    <row r="137" spans="1:14" ht="18.5" x14ac:dyDescent="0.35">
      <c r="A137" s="413" t="s">
        <v>55</v>
      </c>
      <c r="B137" s="434"/>
      <c r="C137" s="434"/>
      <c r="D137" s="434"/>
      <c r="E137" s="434"/>
      <c r="F137" s="434"/>
      <c r="G137" s="434"/>
      <c r="H137" s="229"/>
      <c r="I137" s="229"/>
      <c r="J137" s="229"/>
      <c r="K137" s="229"/>
      <c r="L137" s="333">
        <f>'14_20.STOLETÍ'!L5</f>
        <v>0</v>
      </c>
      <c r="M137" s="333">
        <f>'14_20.STOLETÍ'!M5</f>
        <v>0</v>
      </c>
      <c r="N137" s="348"/>
    </row>
    <row r="138" spans="1:14" ht="18.5" x14ac:dyDescent="0.35">
      <c r="A138" s="413" t="s">
        <v>37</v>
      </c>
      <c r="B138" s="434"/>
      <c r="C138" s="434"/>
      <c r="D138" s="434"/>
      <c r="E138" s="434"/>
      <c r="F138" s="434"/>
      <c r="G138" s="434"/>
      <c r="H138" s="229"/>
      <c r="I138" s="229"/>
      <c r="J138" s="229"/>
      <c r="K138" s="229"/>
      <c r="L138" s="333">
        <f>'14_20.STOLETÍ'!L6</f>
        <v>0</v>
      </c>
      <c r="M138" s="333">
        <f>'14_20.STOLETÍ'!M6</f>
        <v>0</v>
      </c>
      <c r="N138" s="348"/>
    </row>
    <row r="139" spans="1:14" ht="18.5" x14ac:dyDescent="0.35">
      <c r="A139" s="413" t="s">
        <v>43</v>
      </c>
      <c r="B139" s="434"/>
      <c r="C139" s="434"/>
      <c r="D139" s="434"/>
      <c r="E139" s="434"/>
      <c r="F139" s="434"/>
      <c r="G139" s="434"/>
      <c r="H139" s="229"/>
      <c r="I139" s="229"/>
      <c r="J139" s="229"/>
      <c r="K139" s="229"/>
      <c r="L139" s="333">
        <f>'14_20.STOLETÍ'!L7</f>
        <v>0</v>
      </c>
      <c r="M139" s="333">
        <f>'14_20.STOLETÍ'!M7</f>
        <v>0</v>
      </c>
      <c r="N139" s="348"/>
    </row>
    <row r="140" spans="1:14" ht="18.5" x14ac:dyDescent="0.35">
      <c r="A140" s="413" t="s">
        <v>45</v>
      </c>
      <c r="B140" s="434"/>
      <c r="C140" s="434"/>
      <c r="D140" s="434"/>
      <c r="E140" s="434"/>
      <c r="F140" s="434"/>
      <c r="G140" s="434"/>
      <c r="H140" s="229"/>
      <c r="I140" s="229"/>
      <c r="J140" s="229"/>
      <c r="K140" s="229"/>
      <c r="L140" s="333">
        <f>'14_20.STOLETÍ'!L8</f>
        <v>0</v>
      </c>
      <c r="M140" s="333">
        <f>'14_20.STOLETÍ'!M8</f>
        <v>0</v>
      </c>
      <c r="N140" s="348"/>
    </row>
    <row r="141" spans="1:14" ht="18.5" x14ac:dyDescent="0.35">
      <c r="A141" s="413" t="s">
        <v>56</v>
      </c>
      <c r="B141" s="434"/>
      <c r="C141" s="434"/>
      <c r="D141" s="434"/>
      <c r="E141" s="434"/>
      <c r="F141" s="434"/>
      <c r="G141" s="434"/>
      <c r="H141" s="229"/>
      <c r="I141" s="229"/>
      <c r="J141" s="229"/>
      <c r="K141" s="229"/>
      <c r="L141" s="333">
        <f>'14_20.STOLETÍ'!L9</f>
        <v>0</v>
      </c>
      <c r="M141" s="333">
        <f>'14_20.STOLETÍ'!M9</f>
        <v>0</v>
      </c>
      <c r="N141" s="348"/>
    </row>
    <row r="142" spans="1:14" ht="19" thickBot="1" x14ac:dyDescent="0.4">
      <c r="A142" s="413" t="s">
        <v>57</v>
      </c>
      <c r="B142" s="434"/>
      <c r="C142" s="434"/>
      <c r="D142" s="434"/>
      <c r="E142" s="434"/>
      <c r="F142" s="434"/>
      <c r="G142" s="434"/>
      <c r="H142" s="229"/>
      <c r="I142" s="229"/>
      <c r="J142" s="229"/>
      <c r="K142" s="229"/>
      <c r="L142" s="333">
        <f>'14_20.STOLETÍ'!L10</f>
        <v>0</v>
      </c>
      <c r="M142" s="333">
        <f>'14_20.STOLETÍ'!M10</f>
        <v>0</v>
      </c>
      <c r="N142" s="223" t="s">
        <v>714</v>
      </c>
    </row>
    <row r="143" spans="1:14" ht="26.5" thickBot="1" x14ac:dyDescent="0.4">
      <c r="A143" s="445" t="s">
        <v>738</v>
      </c>
      <c r="B143" s="394"/>
      <c r="C143" s="394"/>
      <c r="D143" s="394"/>
      <c r="E143" s="394"/>
      <c r="F143" s="394"/>
      <c r="G143" s="394"/>
      <c r="H143" s="394"/>
      <c r="I143" s="394"/>
      <c r="J143" s="394"/>
      <c r="K143" s="446"/>
      <c r="L143" s="349">
        <f>SUM(L137:L142)</f>
        <v>0</v>
      </c>
      <c r="M143" s="349">
        <f>SUM(M137:M142)</f>
        <v>0</v>
      </c>
      <c r="N143" s="348"/>
    </row>
    <row r="144" spans="1:14" ht="26.5" thickBot="1" x14ac:dyDescent="0.4">
      <c r="A144" s="350"/>
      <c r="B144" s="351"/>
      <c r="C144" s="351"/>
      <c r="D144" s="351"/>
      <c r="E144" s="351"/>
      <c r="F144" s="351"/>
      <c r="G144" s="351"/>
      <c r="H144" s="351"/>
      <c r="I144" s="351"/>
      <c r="J144" s="351"/>
      <c r="K144" s="351"/>
      <c r="L144" s="351"/>
      <c r="M144" s="351"/>
      <c r="N144" s="352"/>
    </row>
    <row r="145" spans="1:14" ht="26.5" thickBot="1" x14ac:dyDescent="0.4">
      <c r="A145" s="437" t="s">
        <v>757</v>
      </c>
      <c r="B145" s="438"/>
      <c r="C145" s="438"/>
      <c r="D145" s="438"/>
      <c r="E145" s="438"/>
      <c r="F145" s="438"/>
      <c r="G145" s="438"/>
      <c r="H145" s="438"/>
      <c r="I145" s="438"/>
      <c r="J145" s="438"/>
      <c r="K145" s="439"/>
      <c r="L145" s="127" t="s">
        <v>7</v>
      </c>
      <c r="M145" s="127" t="s">
        <v>8</v>
      </c>
      <c r="N145" s="159"/>
    </row>
    <row r="146" spans="1:14" ht="18.5" x14ac:dyDescent="0.35">
      <c r="A146" s="413" t="s">
        <v>55</v>
      </c>
      <c r="B146" s="434"/>
      <c r="C146" s="434"/>
      <c r="D146" s="434"/>
      <c r="E146" s="434"/>
      <c r="F146" s="434"/>
      <c r="G146" s="434"/>
      <c r="H146" s="229"/>
      <c r="I146" s="229"/>
      <c r="J146" s="229"/>
      <c r="K146" s="229"/>
      <c r="L146" s="333">
        <f>'15_KUNSTKOMORA'!L5</f>
        <v>0</v>
      </c>
      <c r="M146" s="333">
        <f>'15_KUNSTKOMORA'!M5</f>
        <v>0</v>
      </c>
      <c r="N146" s="348"/>
    </row>
    <row r="147" spans="1:14" ht="18.5" x14ac:dyDescent="0.35">
      <c r="A147" s="413" t="s">
        <v>37</v>
      </c>
      <c r="B147" s="434"/>
      <c r="C147" s="434"/>
      <c r="D147" s="434"/>
      <c r="E147" s="434"/>
      <c r="F147" s="434"/>
      <c r="G147" s="434"/>
      <c r="H147" s="229"/>
      <c r="I147" s="229"/>
      <c r="J147" s="229"/>
      <c r="K147" s="229"/>
      <c r="L147" s="333">
        <f>'15_KUNSTKOMORA'!L6</f>
        <v>0</v>
      </c>
      <c r="M147" s="333">
        <f>'15_KUNSTKOMORA'!M6</f>
        <v>0</v>
      </c>
      <c r="N147" s="348"/>
    </row>
    <row r="148" spans="1:14" ht="18.5" x14ac:dyDescent="0.35">
      <c r="A148" s="413" t="s">
        <v>43</v>
      </c>
      <c r="B148" s="434"/>
      <c r="C148" s="434"/>
      <c r="D148" s="434"/>
      <c r="E148" s="434"/>
      <c r="F148" s="434"/>
      <c r="G148" s="434"/>
      <c r="H148" s="229"/>
      <c r="I148" s="229"/>
      <c r="J148" s="229"/>
      <c r="K148" s="229"/>
      <c r="L148" s="333">
        <f>'15_KUNSTKOMORA'!L7</f>
        <v>0</v>
      </c>
      <c r="M148" s="333">
        <f>'15_KUNSTKOMORA'!M7</f>
        <v>0</v>
      </c>
      <c r="N148" s="348"/>
    </row>
    <row r="149" spans="1:14" ht="18.5" x14ac:dyDescent="0.35">
      <c r="A149" s="413" t="s">
        <v>45</v>
      </c>
      <c r="B149" s="434"/>
      <c r="C149" s="434"/>
      <c r="D149" s="434"/>
      <c r="E149" s="434"/>
      <c r="F149" s="434"/>
      <c r="G149" s="434"/>
      <c r="H149" s="229"/>
      <c r="I149" s="229"/>
      <c r="J149" s="229"/>
      <c r="K149" s="229"/>
      <c r="L149" s="333">
        <f>'15_KUNSTKOMORA'!L8</f>
        <v>0</v>
      </c>
      <c r="M149" s="333">
        <f>'15_KUNSTKOMORA'!M8</f>
        <v>0</v>
      </c>
      <c r="N149" s="348"/>
    </row>
    <row r="150" spans="1:14" ht="18.5" x14ac:dyDescent="0.35">
      <c r="A150" s="413" t="s">
        <v>56</v>
      </c>
      <c r="B150" s="434"/>
      <c r="C150" s="434"/>
      <c r="D150" s="434"/>
      <c r="E150" s="434"/>
      <c r="F150" s="434"/>
      <c r="G150" s="434"/>
      <c r="H150" s="229"/>
      <c r="I150" s="229"/>
      <c r="J150" s="229"/>
      <c r="K150" s="229"/>
      <c r="L150" s="333">
        <f>'15_KUNSTKOMORA'!L9</f>
        <v>0</v>
      </c>
      <c r="M150" s="333">
        <f>'15_KUNSTKOMORA'!M9</f>
        <v>0</v>
      </c>
      <c r="N150" s="348"/>
    </row>
    <row r="151" spans="1:14" ht="19" thickBot="1" x14ac:dyDescent="0.4">
      <c r="A151" s="413" t="s">
        <v>57</v>
      </c>
      <c r="B151" s="434"/>
      <c r="C151" s="434"/>
      <c r="D151" s="434"/>
      <c r="E151" s="434"/>
      <c r="F151" s="434"/>
      <c r="G151" s="434"/>
      <c r="H151" s="229"/>
      <c r="I151" s="229"/>
      <c r="J151" s="229"/>
      <c r="K151" s="229"/>
      <c r="L151" s="333">
        <f>'15_KUNSTKOMORA'!L10</f>
        <v>0</v>
      </c>
      <c r="M151" s="333">
        <f>'15_KUNSTKOMORA'!M10</f>
        <v>0</v>
      </c>
      <c r="N151" s="223" t="s">
        <v>714</v>
      </c>
    </row>
    <row r="152" spans="1:14" ht="26.5" thickBot="1" x14ac:dyDescent="0.4">
      <c r="A152" s="445" t="s">
        <v>142</v>
      </c>
      <c r="B152" s="394"/>
      <c r="C152" s="394"/>
      <c r="D152" s="394"/>
      <c r="E152" s="394"/>
      <c r="F152" s="394"/>
      <c r="G152" s="394"/>
      <c r="H152" s="394"/>
      <c r="I152" s="394"/>
      <c r="J152" s="394"/>
      <c r="K152" s="446"/>
      <c r="L152" s="349">
        <f>SUM(L146:L151)</f>
        <v>0</v>
      </c>
      <c r="M152" s="349">
        <f>SUM(M146:M151)</f>
        <v>0</v>
      </c>
      <c r="N152" s="348"/>
    </row>
    <row r="153" spans="1:14" ht="26.5" thickBot="1" x14ac:dyDescent="0.4">
      <c r="A153" s="350"/>
      <c r="B153" s="351"/>
      <c r="C153" s="351"/>
      <c r="D153" s="351"/>
      <c r="E153" s="351"/>
      <c r="F153" s="351"/>
      <c r="G153" s="351"/>
      <c r="H153" s="351"/>
      <c r="I153" s="351"/>
      <c r="J153" s="351"/>
      <c r="K153" s="351"/>
      <c r="L153" s="351"/>
      <c r="M153" s="351"/>
      <c r="N153" s="352"/>
    </row>
    <row r="154" spans="1:14" ht="26.5" thickBot="1" x14ac:dyDescent="0.4">
      <c r="A154" s="437" t="s">
        <v>758</v>
      </c>
      <c r="B154" s="438"/>
      <c r="C154" s="438"/>
      <c r="D154" s="438"/>
      <c r="E154" s="438"/>
      <c r="F154" s="438"/>
      <c r="G154" s="438"/>
      <c r="H154" s="438"/>
      <c r="I154" s="438"/>
      <c r="J154" s="438"/>
      <c r="K154" s="439"/>
      <c r="L154" s="127" t="s">
        <v>7</v>
      </c>
      <c r="M154" s="127" t="s">
        <v>8</v>
      </c>
      <c r="N154" s="159"/>
    </row>
    <row r="155" spans="1:14" ht="18.5" x14ac:dyDescent="0.35">
      <c r="A155" s="413" t="s">
        <v>55</v>
      </c>
      <c r="B155" s="434"/>
      <c r="C155" s="434"/>
      <c r="D155" s="434"/>
      <c r="E155" s="434"/>
      <c r="F155" s="434"/>
      <c r="G155" s="434"/>
      <c r="H155" s="229"/>
      <c r="I155" s="229"/>
      <c r="J155" s="229"/>
      <c r="K155" s="229"/>
      <c r="L155" s="333">
        <f>'16_VIDEOMAPPING'!L5</f>
        <v>0</v>
      </c>
      <c r="M155" s="333">
        <f>'16_VIDEOMAPPING'!M5</f>
        <v>0</v>
      </c>
      <c r="N155" s="348"/>
    </row>
    <row r="156" spans="1:14" ht="18.5" x14ac:dyDescent="0.35">
      <c r="A156" s="413" t="s">
        <v>37</v>
      </c>
      <c r="B156" s="434"/>
      <c r="C156" s="434"/>
      <c r="D156" s="434"/>
      <c r="E156" s="434"/>
      <c r="F156" s="434"/>
      <c r="G156" s="434"/>
      <c r="H156" s="229"/>
      <c r="I156" s="229"/>
      <c r="J156" s="229"/>
      <c r="K156" s="229"/>
      <c r="L156" s="333">
        <f>'16_VIDEOMAPPING'!L6</f>
        <v>0</v>
      </c>
      <c r="M156" s="333">
        <f>'16_VIDEOMAPPING'!M6</f>
        <v>0</v>
      </c>
      <c r="N156" s="348"/>
    </row>
    <row r="157" spans="1:14" ht="18.5" x14ac:dyDescent="0.35">
      <c r="A157" s="413" t="s">
        <v>43</v>
      </c>
      <c r="B157" s="434"/>
      <c r="C157" s="434"/>
      <c r="D157" s="434"/>
      <c r="E157" s="434"/>
      <c r="F157" s="434"/>
      <c r="G157" s="434"/>
      <c r="H157" s="229"/>
      <c r="I157" s="229"/>
      <c r="J157" s="229"/>
      <c r="K157" s="229"/>
      <c r="L157" s="333">
        <f>'16_VIDEOMAPPING'!L7</f>
        <v>0</v>
      </c>
      <c r="M157" s="333">
        <f>'16_VIDEOMAPPING'!M7</f>
        <v>0</v>
      </c>
      <c r="N157" s="348"/>
    </row>
    <row r="158" spans="1:14" ht="18.5" x14ac:dyDescent="0.35">
      <c r="A158" s="413" t="s">
        <v>45</v>
      </c>
      <c r="B158" s="434"/>
      <c r="C158" s="434"/>
      <c r="D158" s="434"/>
      <c r="E158" s="434"/>
      <c r="F158" s="434"/>
      <c r="G158" s="434"/>
      <c r="H158" s="229"/>
      <c r="I158" s="229"/>
      <c r="J158" s="229"/>
      <c r="K158" s="229"/>
      <c r="L158" s="333">
        <f>'16_VIDEOMAPPING'!L8</f>
        <v>0</v>
      </c>
      <c r="M158" s="333">
        <f>'16_VIDEOMAPPING'!M8</f>
        <v>0</v>
      </c>
      <c r="N158" s="348"/>
    </row>
    <row r="159" spans="1:14" ht="18.5" x14ac:dyDescent="0.35">
      <c r="A159" s="413" t="s">
        <v>56</v>
      </c>
      <c r="B159" s="434"/>
      <c r="C159" s="434"/>
      <c r="D159" s="434"/>
      <c r="E159" s="434"/>
      <c r="F159" s="434"/>
      <c r="G159" s="434"/>
      <c r="H159" s="229"/>
      <c r="I159" s="229"/>
      <c r="J159" s="229"/>
      <c r="K159" s="229"/>
      <c r="L159" s="333">
        <f>'16_VIDEOMAPPING'!L9</f>
        <v>0</v>
      </c>
      <c r="M159" s="333">
        <f>'16_VIDEOMAPPING'!M9</f>
        <v>0</v>
      </c>
      <c r="N159" s="348"/>
    </row>
    <row r="160" spans="1:14" ht="19" thickBot="1" x14ac:dyDescent="0.4">
      <c r="A160" s="413" t="s">
        <v>57</v>
      </c>
      <c r="B160" s="434"/>
      <c r="C160" s="434"/>
      <c r="D160" s="434"/>
      <c r="E160" s="434"/>
      <c r="F160" s="434"/>
      <c r="G160" s="434"/>
      <c r="H160" s="229"/>
      <c r="I160" s="229"/>
      <c r="J160" s="229"/>
      <c r="K160" s="229"/>
      <c r="L160" s="333">
        <f>'16_VIDEOMAPPING'!L10</f>
        <v>0</v>
      </c>
      <c r="M160" s="333">
        <f>'16_VIDEOMAPPING'!M10</f>
        <v>0</v>
      </c>
      <c r="N160" s="223" t="s">
        <v>714</v>
      </c>
    </row>
    <row r="161" spans="1:14" ht="26.5" thickBot="1" x14ac:dyDescent="0.4">
      <c r="A161" s="440" t="s">
        <v>156</v>
      </c>
      <c r="B161" s="441"/>
      <c r="C161" s="441"/>
      <c r="D161" s="441"/>
      <c r="E161" s="441"/>
      <c r="F161" s="441"/>
      <c r="G161" s="441"/>
      <c r="H161" s="441"/>
      <c r="I161" s="441"/>
      <c r="J161" s="441"/>
      <c r="K161" s="442"/>
      <c r="L161" s="349">
        <f>SUM(L155:L160)</f>
        <v>0</v>
      </c>
      <c r="M161" s="349">
        <f>SUM(M155:M160)</f>
        <v>0</v>
      </c>
      <c r="N161" s="352"/>
    </row>
    <row r="162" spans="1:14" s="135" customFormat="1" ht="30" customHeight="1" thickBot="1" x14ac:dyDescent="0.4">
      <c r="A162" s="173"/>
      <c r="B162" s="56"/>
      <c r="C162" s="8"/>
      <c r="D162" s="8"/>
      <c r="E162" s="8"/>
      <c r="F162" s="8"/>
      <c r="G162" s="8"/>
      <c r="H162" s="141"/>
      <c r="I162" s="141"/>
      <c r="J162" s="141"/>
      <c r="K162" s="141"/>
      <c r="L162" s="141"/>
      <c r="M162" s="141"/>
      <c r="N162" s="159"/>
    </row>
    <row r="163" spans="1:14" s="141" customFormat="1" ht="26.5" thickBot="1" x14ac:dyDescent="0.4">
      <c r="A163" s="435" t="s">
        <v>435</v>
      </c>
      <c r="B163" s="436"/>
      <c r="C163" s="436"/>
      <c r="D163" s="436"/>
      <c r="E163" s="436"/>
      <c r="F163" s="436"/>
      <c r="G163" s="436"/>
      <c r="H163" s="436"/>
      <c r="I163" s="436"/>
      <c r="J163" s="436"/>
      <c r="K163" s="436"/>
      <c r="L163" s="436"/>
      <c r="M163" s="436"/>
      <c r="N163" s="424"/>
    </row>
    <row r="164" spans="1:14" s="135" customFormat="1" ht="10" customHeight="1" thickBot="1" x14ac:dyDescent="0.4">
      <c r="A164" s="203"/>
      <c r="B164" s="166"/>
      <c r="C164" s="166"/>
      <c r="D164" s="166"/>
      <c r="E164" s="166"/>
      <c r="F164" s="166"/>
      <c r="G164" s="166"/>
      <c r="H164" s="166"/>
      <c r="I164" s="166"/>
      <c r="J164" s="166"/>
      <c r="K164" s="166"/>
      <c r="L164" s="166"/>
      <c r="M164" s="166"/>
    </row>
    <row r="165" spans="1:14" s="135" customFormat="1" ht="26.5" thickBot="1" x14ac:dyDescent="0.4">
      <c r="A165" s="437" t="s">
        <v>427</v>
      </c>
      <c r="B165" s="438"/>
      <c r="C165" s="438"/>
      <c r="D165" s="438"/>
      <c r="E165" s="438"/>
      <c r="F165" s="438"/>
      <c r="G165" s="438"/>
      <c r="H165" s="438"/>
      <c r="I165" s="438"/>
      <c r="J165" s="438"/>
      <c r="K165" s="439"/>
      <c r="L165" s="131" t="s">
        <v>7</v>
      </c>
      <c r="M165" s="131" t="s">
        <v>8</v>
      </c>
      <c r="N165" s="157"/>
    </row>
    <row r="166" spans="1:14" s="135" customFormat="1" ht="18.5" x14ac:dyDescent="0.35">
      <c r="A166" s="413" t="s">
        <v>675</v>
      </c>
      <c r="B166" s="434"/>
      <c r="C166" s="434"/>
      <c r="D166" s="434"/>
      <c r="E166" s="434"/>
      <c r="F166" s="434"/>
      <c r="G166" s="434"/>
      <c r="H166" s="229"/>
      <c r="I166" s="229"/>
      <c r="J166" s="229"/>
      <c r="K166" s="229"/>
      <c r="L166" s="487">
        <v>0</v>
      </c>
      <c r="M166" s="487">
        <v>0</v>
      </c>
      <c r="N166" s="159"/>
    </row>
    <row r="167" spans="1:14" s="135" customFormat="1" ht="18.5" x14ac:dyDescent="0.35">
      <c r="A167" s="443" t="s">
        <v>742</v>
      </c>
      <c r="B167" s="444"/>
      <c r="C167" s="444"/>
      <c r="D167" s="444"/>
      <c r="E167" s="444"/>
      <c r="F167" s="444"/>
      <c r="G167" s="444"/>
      <c r="H167" s="229"/>
      <c r="I167" s="229"/>
      <c r="J167" s="229"/>
      <c r="K167" s="229"/>
      <c r="L167" s="333"/>
      <c r="M167" s="333"/>
      <c r="N167" s="171"/>
    </row>
    <row r="168" spans="1:14" s="135" customFormat="1" ht="18.5" x14ac:dyDescent="0.35">
      <c r="A168" s="413" t="s">
        <v>689</v>
      </c>
      <c r="B168" s="434"/>
      <c r="C168" s="434"/>
      <c r="D168" s="434"/>
      <c r="E168" s="434"/>
      <c r="F168" s="434"/>
      <c r="G168" s="434"/>
      <c r="H168" s="229"/>
      <c r="I168" s="229"/>
      <c r="J168" s="229"/>
      <c r="K168" s="229"/>
      <c r="L168" s="487">
        <v>0</v>
      </c>
      <c r="M168" s="487">
        <v>0</v>
      </c>
      <c r="N168" s="171"/>
    </row>
    <row r="169" spans="1:14" s="135" customFormat="1" ht="19" thickBot="1" x14ac:dyDescent="0.4">
      <c r="A169" s="413" t="s">
        <v>432</v>
      </c>
      <c r="B169" s="434"/>
      <c r="C169" s="434"/>
      <c r="D169" s="434"/>
      <c r="E169" s="434"/>
      <c r="F169" s="434"/>
      <c r="G169" s="434"/>
      <c r="H169" s="229"/>
      <c r="I169" s="229"/>
      <c r="J169" s="229"/>
      <c r="K169" s="229"/>
      <c r="L169" s="487">
        <v>0</v>
      </c>
      <c r="M169" s="487">
        <v>0</v>
      </c>
      <c r="N169" s="332" t="s">
        <v>736</v>
      </c>
    </row>
    <row r="170" spans="1:14" s="135" customFormat="1" ht="26.5" thickBot="1" x14ac:dyDescent="0.4">
      <c r="A170" s="440" t="s">
        <v>431</v>
      </c>
      <c r="B170" s="441"/>
      <c r="C170" s="441"/>
      <c r="D170" s="441"/>
      <c r="E170" s="441"/>
      <c r="F170" s="441"/>
      <c r="G170" s="441"/>
      <c r="H170" s="441"/>
      <c r="I170" s="441"/>
      <c r="J170" s="441"/>
      <c r="K170" s="442"/>
      <c r="L170" s="130">
        <f>SUM(L166:L169)</f>
        <v>0</v>
      </c>
      <c r="M170" s="130">
        <f>SUM(M166:M169)</f>
        <v>0</v>
      </c>
      <c r="N170" s="177"/>
    </row>
    <row r="171" spans="1:14" s="135" customFormat="1" ht="26.5" thickBot="1" x14ac:dyDescent="0.4">
      <c r="A171" s="175"/>
      <c r="B171" s="129"/>
      <c r="C171" s="129"/>
      <c r="D171" s="129"/>
      <c r="E171" s="129"/>
      <c r="F171" s="129"/>
      <c r="G171" s="129"/>
      <c r="H171" s="129"/>
      <c r="I171" s="129"/>
      <c r="J171" s="129"/>
      <c r="K171" s="129"/>
      <c r="L171" s="129"/>
      <c r="M171" s="129"/>
      <c r="N171" s="176"/>
    </row>
    <row r="172" spans="1:14" s="135" customFormat="1" ht="26.5" thickBot="1" x14ac:dyDescent="0.4">
      <c r="A172" s="437" t="s">
        <v>39</v>
      </c>
      <c r="B172" s="438"/>
      <c r="C172" s="438"/>
      <c r="D172" s="438"/>
      <c r="E172" s="438"/>
      <c r="F172" s="438"/>
      <c r="G172" s="438"/>
      <c r="H172" s="438"/>
      <c r="I172" s="438"/>
      <c r="J172" s="438"/>
      <c r="K172" s="439"/>
      <c r="L172" s="127" t="s">
        <v>7</v>
      </c>
      <c r="M172" s="127" t="s">
        <v>8</v>
      </c>
      <c r="N172" s="159"/>
    </row>
    <row r="173" spans="1:14" s="135" customFormat="1" ht="19" thickBot="1" x14ac:dyDescent="0.4">
      <c r="A173" s="413" t="s">
        <v>674</v>
      </c>
      <c r="B173" s="434"/>
      <c r="C173" s="434"/>
      <c r="D173" s="434"/>
      <c r="E173" s="434"/>
      <c r="F173" s="434"/>
      <c r="G173" s="434"/>
      <c r="H173" s="229"/>
      <c r="I173" s="229"/>
      <c r="J173" s="229"/>
      <c r="K173" s="229"/>
      <c r="L173" s="487">
        <v>0</v>
      </c>
      <c r="M173" s="487">
        <v>0</v>
      </c>
      <c r="N173" s="159"/>
    </row>
    <row r="174" spans="1:14" s="135" customFormat="1" ht="26.5" thickBot="1" x14ac:dyDescent="0.4">
      <c r="A174" s="440" t="s">
        <v>671</v>
      </c>
      <c r="B174" s="441"/>
      <c r="C174" s="441"/>
      <c r="D174" s="441"/>
      <c r="E174" s="441"/>
      <c r="F174" s="441"/>
      <c r="G174" s="441"/>
      <c r="H174" s="441"/>
      <c r="I174" s="441"/>
      <c r="J174" s="441"/>
      <c r="K174" s="442"/>
      <c r="L174" s="130">
        <f>SUM(L173:L173)</f>
        <v>0</v>
      </c>
      <c r="M174" s="130">
        <f>SUM(M173:M173)</f>
        <v>0</v>
      </c>
      <c r="N174" s="177"/>
    </row>
  </sheetData>
  <sheetProtection sheet="1" objects="1" scenarios="1"/>
  <mergeCells count="150">
    <mergeCell ref="A113:G113"/>
    <mergeCell ref="A114:G114"/>
    <mergeCell ref="A115:G115"/>
    <mergeCell ref="A119:G119"/>
    <mergeCell ref="A120:G120"/>
    <mergeCell ref="A116:K116"/>
    <mergeCell ref="A118:K118"/>
    <mergeCell ref="A105:G105"/>
    <mergeCell ref="A106:G106"/>
    <mergeCell ref="A110:G110"/>
    <mergeCell ref="A97:G97"/>
    <mergeCell ref="A101:G101"/>
    <mergeCell ref="A102:G102"/>
    <mergeCell ref="A73:K73"/>
    <mergeCell ref="A82:K82"/>
    <mergeCell ref="A87:G87"/>
    <mergeCell ref="A88:G88"/>
    <mergeCell ref="A75:G75"/>
    <mergeCell ref="A100:K100"/>
    <mergeCell ref="A86:G86"/>
    <mergeCell ref="A91:K91"/>
    <mergeCell ref="A96:G96"/>
    <mergeCell ref="A93:G93"/>
    <mergeCell ref="A94:G94"/>
    <mergeCell ref="A95:G95"/>
    <mergeCell ref="A66:G66"/>
    <mergeCell ref="A67:G67"/>
    <mergeCell ref="A68:G68"/>
    <mergeCell ref="A40:K40"/>
    <mergeCell ref="A76:G76"/>
    <mergeCell ref="A77:G77"/>
    <mergeCell ref="A78:G78"/>
    <mergeCell ref="A79:G79"/>
    <mergeCell ref="A47:G47"/>
    <mergeCell ref="A48:G48"/>
    <mergeCell ref="A33:K33"/>
    <mergeCell ref="A45:G45"/>
    <mergeCell ref="A46:G46"/>
    <mergeCell ref="A58:G58"/>
    <mergeCell ref="A50:G50"/>
    <mergeCell ref="A54:G54"/>
    <mergeCell ref="A55:G55"/>
    <mergeCell ref="A56:G56"/>
    <mergeCell ref="A57:G57"/>
    <mergeCell ref="A42:K42"/>
    <mergeCell ref="A44:K44"/>
    <mergeCell ref="A53:K53"/>
    <mergeCell ref="A34:G34"/>
    <mergeCell ref="A35:G35"/>
    <mergeCell ref="A36:G36"/>
    <mergeCell ref="A39:G39"/>
    <mergeCell ref="A37:G37"/>
    <mergeCell ref="A38:G38"/>
    <mergeCell ref="A49:G49"/>
    <mergeCell ref="A160:G160"/>
    <mergeCell ref="A51:K51"/>
    <mergeCell ref="A60:K60"/>
    <mergeCell ref="A69:K69"/>
    <mergeCell ref="A80:K80"/>
    <mergeCell ref="A89:K89"/>
    <mergeCell ref="A98:K98"/>
    <mergeCell ref="A107:K107"/>
    <mergeCell ref="A151:G151"/>
    <mergeCell ref="A155:G155"/>
    <mergeCell ref="A156:G156"/>
    <mergeCell ref="A157:G157"/>
    <mergeCell ref="A158:G158"/>
    <mergeCell ref="A146:G146"/>
    <mergeCell ref="A147:G147"/>
    <mergeCell ref="A129:G129"/>
    <mergeCell ref="A130:G130"/>
    <mergeCell ref="A131:G131"/>
    <mergeCell ref="A132:G132"/>
    <mergeCell ref="A133:G133"/>
    <mergeCell ref="A74:G74"/>
    <mergeCell ref="A59:G59"/>
    <mergeCell ref="A63:G63"/>
    <mergeCell ref="A64:G64"/>
    <mergeCell ref="A150:G150"/>
    <mergeCell ref="A137:G137"/>
    <mergeCell ref="A138:G138"/>
    <mergeCell ref="A139:G139"/>
    <mergeCell ref="A140:G140"/>
    <mergeCell ref="A62:K62"/>
    <mergeCell ref="A71:K71"/>
    <mergeCell ref="A159:G159"/>
    <mergeCell ref="A83:G83"/>
    <mergeCell ref="A84:G84"/>
    <mergeCell ref="A92:G92"/>
    <mergeCell ref="A85:G85"/>
    <mergeCell ref="A111:G111"/>
    <mergeCell ref="A112:G112"/>
    <mergeCell ref="A109:K109"/>
    <mergeCell ref="A103:G103"/>
    <mergeCell ref="A104:G104"/>
    <mergeCell ref="A122:G122"/>
    <mergeCell ref="A123:G123"/>
    <mergeCell ref="A124:G124"/>
    <mergeCell ref="A128:G128"/>
    <mergeCell ref="A125:K125"/>
    <mergeCell ref="A127:K127"/>
    <mergeCell ref="A65:G65"/>
    <mergeCell ref="A161:K161"/>
    <mergeCell ref="A148:G148"/>
    <mergeCell ref="F5:H5"/>
    <mergeCell ref="A2:N2"/>
    <mergeCell ref="A5:D5"/>
    <mergeCell ref="A7:D7"/>
    <mergeCell ref="A10:D10"/>
    <mergeCell ref="A15:D15"/>
    <mergeCell ref="A20:D20"/>
    <mergeCell ref="A4:D4"/>
    <mergeCell ref="N10:N13"/>
    <mergeCell ref="N15:N18"/>
    <mergeCell ref="N20:N23"/>
    <mergeCell ref="I5:J5"/>
    <mergeCell ref="I20:J20"/>
    <mergeCell ref="I10:J10"/>
    <mergeCell ref="I15:J15"/>
    <mergeCell ref="K5:L5"/>
    <mergeCell ref="K10:L10"/>
    <mergeCell ref="K15:L15"/>
    <mergeCell ref="K20:L20"/>
    <mergeCell ref="K7:L7"/>
    <mergeCell ref="I7:J7"/>
    <mergeCell ref="A149:G149"/>
    <mergeCell ref="A169:G169"/>
    <mergeCell ref="A31:N31"/>
    <mergeCell ref="A163:N163"/>
    <mergeCell ref="A172:K172"/>
    <mergeCell ref="A173:G173"/>
    <mergeCell ref="A174:K174"/>
    <mergeCell ref="N25:N28"/>
    <mergeCell ref="A165:K165"/>
    <mergeCell ref="A168:G168"/>
    <mergeCell ref="A166:G166"/>
    <mergeCell ref="A167:G167"/>
    <mergeCell ref="A170:K170"/>
    <mergeCell ref="A25:D25"/>
    <mergeCell ref="I25:J25"/>
    <mergeCell ref="K25:L25"/>
    <mergeCell ref="A141:G141"/>
    <mergeCell ref="A142:G142"/>
    <mergeCell ref="A134:K134"/>
    <mergeCell ref="A121:G121"/>
    <mergeCell ref="A136:K136"/>
    <mergeCell ref="A145:K145"/>
    <mergeCell ref="A154:K154"/>
    <mergeCell ref="A143:K143"/>
    <mergeCell ref="A152:K152"/>
  </mergeCells>
  <hyperlinks>
    <hyperlink ref="K20" r:id="rId1"/>
    <hyperlink ref="K25" r:id="rId2"/>
    <hyperlink ref="K7" r:id="rId3"/>
    <hyperlink ref="K10" r:id="rId4"/>
  </hyperlinks>
  <pageMargins left="0.23622047244094491" right="0.23622047244094491" top="0.36" bottom="0.26" header="0.12" footer="0.12"/>
  <pageSetup paperSize="9" scale="43" firstPageNumber="3" fitToHeight="0" orientation="landscape" useFirstPageNumber="1" r:id="rId5"/>
  <headerFooter>
    <oddFooter>&amp;C&amp;P/43</oddFooter>
  </headerFooter>
  <rowBreaks count="2" manualBreakCount="2">
    <brk id="61" max="16383" man="1"/>
    <brk id="117" max="16383" man="1"/>
  </rowBreaks>
  <ignoredErrors>
    <ignoredError sqref="I20 I25 I7 I1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N302"/>
  <sheetViews>
    <sheetView view="pageLayout" zoomScale="40" zoomScaleNormal="70" zoomScalePageLayoutView="40" workbookViewId="0">
      <selection activeCell="K17" sqref="K17"/>
    </sheetView>
  </sheetViews>
  <sheetFormatPr defaultColWidth="9.1796875" defaultRowHeight="14.5" x14ac:dyDescent="0.35"/>
  <cols>
    <col min="1" max="1" width="5" style="43" customWidth="1"/>
    <col min="2" max="2" width="5.7265625" style="54" customWidth="1"/>
    <col min="3" max="3" width="5.81640625" style="6" customWidth="1"/>
    <col min="4" max="4" width="7" style="6" customWidth="1"/>
    <col min="5" max="5" width="3.7265625" style="6" customWidth="1"/>
    <col min="6" max="6" width="50.7265625" style="6" customWidth="1"/>
    <col min="7" max="7" width="20.26953125" style="6" customWidth="1"/>
    <col min="8" max="8" width="55.7265625" style="43" customWidth="1"/>
    <col min="9" max="11" width="13.7265625" style="43" customWidth="1"/>
    <col min="12" max="13" width="25.7265625" style="43" customWidth="1"/>
    <col min="14" max="14" width="85.7265625" style="43" customWidth="1"/>
    <col min="15" max="15" width="13.7265625" style="43" customWidth="1"/>
    <col min="16" max="16384" width="9.1796875" style="43"/>
  </cols>
  <sheetData>
    <row r="2" spans="1:14" s="151" customFormat="1" ht="35.15" customHeight="1" x14ac:dyDescent="0.35">
      <c r="A2" s="467" t="s">
        <v>743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</row>
    <row r="3" spans="1:14" s="151" customFormat="1" ht="10" customHeight="1" thickBot="1" x14ac:dyDescent="0.4">
      <c r="A3" s="264"/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156"/>
      <c r="M3" s="156"/>
      <c r="N3" s="156"/>
    </row>
    <row r="4" spans="1:14" ht="26.5" thickBot="1" x14ac:dyDescent="0.4">
      <c r="A4" s="245"/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153" t="s">
        <v>7</v>
      </c>
      <c r="M4" s="153" t="s">
        <v>8</v>
      </c>
      <c r="N4" s="152"/>
    </row>
    <row r="5" spans="1:14" ht="18.5" x14ac:dyDescent="0.35">
      <c r="A5" s="457" t="s">
        <v>55</v>
      </c>
      <c r="B5" s="458"/>
      <c r="C5" s="458"/>
      <c r="D5" s="458"/>
      <c r="E5" s="458"/>
      <c r="F5" s="458"/>
      <c r="G5" s="458"/>
      <c r="H5" s="244"/>
      <c r="I5" s="244"/>
      <c r="J5" s="244"/>
      <c r="K5" s="244"/>
      <c r="L5" s="154">
        <f>L26</f>
        <v>0</v>
      </c>
      <c r="M5" s="154">
        <f>M26</f>
        <v>0</v>
      </c>
      <c r="N5" s="152"/>
    </row>
    <row r="6" spans="1:14" ht="18.5" x14ac:dyDescent="0.35">
      <c r="A6" s="457" t="s">
        <v>37</v>
      </c>
      <c r="B6" s="458"/>
      <c r="C6" s="458"/>
      <c r="D6" s="458"/>
      <c r="E6" s="458"/>
      <c r="F6" s="458"/>
      <c r="G6" s="458"/>
      <c r="H6" s="244"/>
      <c r="I6" s="244"/>
      <c r="J6" s="244"/>
      <c r="K6" s="244"/>
      <c r="L6" s="154">
        <f>L65</f>
        <v>0</v>
      </c>
      <c r="M6" s="154">
        <f>M65</f>
        <v>0</v>
      </c>
      <c r="N6" s="152"/>
    </row>
    <row r="7" spans="1:14" ht="18.5" x14ac:dyDescent="0.35">
      <c r="A7" s="457" t="s">
        <v>43</v>
      </c>
      <c r="B7" s="458"/>
      <c r="C7" s="458"/>
      <c r="D7" s="458"/>
      <c r="E7" s="458"/>
      <c r="F7" s="458"/>
      <c r="G7" s="458"/>
      <c r="H7" s="244"/>
      <c r="I7" s="244"/>
      <c r="J7" s="244"/>
      <c r="K7" s="244"/>
      <c r="L7" s="154">
        <f>L76</f>
        <v>0</v>
      </c>
      <c r="M7" s="154">
        <f>M76</f>
        <v>0</v>
      </c>
      <c r="N7" s="152"/>
    </row>
    <row r="8" spans="1:14" ht="18.5" x14ac:dyDescent="0.35">
      <c r="A8" s="457" t="s">
        <v>45</v>
      </c>
      <c r="B8" s="458"/>
      <c r="C8" s="458"/>
      <c r="D8" s="458"/>
      <c r="E8" s="458"/>
      <c r="F8" s="458"/>
      <c r="G8" s="458"/>
      <c r="H8" s="244"/>
      <c r="I8" s="244"/>
      <c r="J8" s="244"/>
      <c r="K8" s="244"/>
      <c r="L8" s="154">
        <f>L84</f>
        <v>0</v>
      </c>
      <c r="M8" s="154">
        <f>M84</f>
        <v>0</v>
      </c>
      <c r="N8" s="152"/>
    </row>
    <row r="9" spans="1:14" ht="18.5" x14ac:dyDescent="0.35">
      <c r="A9" s="457" t="s">
        <v>56</v>
      </c>
      <c r="B9" s="458"/>
      <c r="C9" s="458"/>
      <c r="D9" s="458"/>
      <c r="E9" s="458"/>
      <c r="F9" s="458"/>
      <c r="G9" s="458"/>
      <c r="H9" s="244"/>
      <c r="I9" s="244"/>
      <c r="J9" s="244"/>
      <c r="K9" s="244"/>
      <c r="L9" s="154">
        <f>L111</f>
        <v>0</v>
      </c>
      <c r="M9" s="154">
        <f>M111</f>
        <v>0</v>
      </c>
      <c r="N9" s="152"/>
    </row>
    <row r="10" spans="1:14" ht="19" thickBot="1" x14ac:dyDescent="0.4">
      <c r="A10" s="457" t="s">
        <v>57</v>
      </c>
      <c r="B10" s="458"/>
      <c r="C10" s="458"/>
      <c r="D10" s="458"/>
      <c r="E10" s="458"/>
      <c r="F10" s="458"/>
      <c r="G10" s="458"/>
      <c r="H10" s="244"/>
      <c r="I10" s="244"/>
      <c r="J10" s="244"/>
      <c r="K10" s="244"/>
      <c r="L10" s="154">
        <f>L122</f>
        <v>0</v>
      </c>
      <c r="M10" s="154">
        <f>M122</f>
        <v>0</v>
      </c>
      <c r="N10" s="152"/>
    </row>
    <row r="11" spans="1:14" ht="26.5" thickBot="1" x14ac:dyDescent="0.4">
      <c r="A11" s="465" t="s">
        <v>458</v>
      </c>
      <c r="B11" s="458"/>
      <c r="C11" s="458"/>
      <c r="D11" s="458"/>
      <c r="E11" s="458"/>
      <c r="F11" s="458"/>
      <c r="G11" s="458"/>
      <c r="H11" s="458"/>
      <c r="I11" s="458"/>
      <c r="J11" s="458"/>
      <c r="K11" s="466"/>
      <c r="L11" s="155">
        <f>SUM(L5:L10)</f>
        <v>0</v>
      </c>
      <c r="M11" s="155">
        <f>SUM(M5:M10)</f>
        <v>0</v>
      </c>
      <c r="N11" s="152"/>
    </row>
    <row r="12" spans="1:14" ht="26" x14ac:dyDescent="0.35">
      <c r="A12" s="246"/>
      <c r="B12" s="247"/>
      <c r="C12" s="248"/>
      <c r="D12" s="248"/>
      <c r="E12" s="248"/>
      <c r="F12" s="248"/>
      <c r="G12" s="248"/>
      <c r="H12" s="248"/>
      <c r="I12" s="248"/>
      <c r="J12" s="248"/>
      <c r="K12" s="248"/>
    </row>
    <row r="13" spans="1:14" ht="19" thickBot="1" x14ac:dyDescent="0.4">
      <c r="A13" s="248"/>
      <c r="B13" s="269"/>
      <c r="C13" s="270"/>
      <c r="D13" s="270"/>
      <c r="E13" s="271"/>
      <c r="F13" s="271"/>
      <c r="G13" s="271"/>
      <c r="H13" s="248"/>
      <c r="I13" s="248"/>
      <c r="J13" s="248"/>
      <c r="K13" s="248"/>
    </row>
    <row r="14" spans="1:14" s="1" customFormat="1" ht="30.75" customHeight="1" thickBot="1" x14ac:dyDescent="0.4">
      <c r="A14" s="27" t="s">
        <v>25</v>
      </c>
      <c r="B14" s="27" t="s">
        <v>26</v>
      </c>
      <c r="C14" s="464" t="s">
        <v>27</v>
      </c>
      <c r="D14" s="460"/>
      <c r="E14" s="5"/>
      <c r="F14" s="459" t="s">
        <v>11</v>
      </c>
      <c r="G14" s="460"/>
      <c r="H14" s="292" t="s">
        <v>48</v>
      </c>
      <c r="I14" s="4" t="s">
        <v>0</v>
      </c>
      <c r="J14" s="4" t="s">
        <v>1</v>
      </c>
      <c r="K14" s="4" t="s">
        <v>2</v>
      </c>
      <c r="L14" s="4" t="s">
        <v>7</v>
      </c>
      <c r="M14" s="4" t="s">
        <v>8</v>
      </c>
      <c r="N14" s="4" t="s">
        <v>3</v>
      </c>
    </row>
    <row r="15" spans="1:14" s="204" customFormat="1" ht="15" customHeight="1" thickBot="1" x14ac:dyDescent="0.4">
      <c r="A15" s="285"/>
      <c r="B15" s="286"/>
      <c r="C15" s="287"/>
      <c r="D15" s="287"/>
      <c r="E15" s="271"/>
      <c r="F15" s="288"/>
      <c r="G15" s="288"/>
      <c r="H15" s="288"/>
      <c r="I15" s="288"/>
      <c r="J15" s="288"/>
      <c r="K15" s="288"/>
      <c r="L15" s="288"/>
      <c r="M15" s="288"/>
      <c r="N15" s="288"/>
    </row>
    <row r="16" spans="1:14" ht="18.5" x14ac:dyDescent="0.35">
      <c r="A16" s="461" t="s">
        <v>41</v>
      </c>
      <c r="B16" s="55"/>
      <c r="C16" s="45"/>
      <c r="D16" s="45"/>
      <c r="E16" s="46"/>
      <c r="F16" s="47"/>
      <c r="G16" s="47"/>
      <c r="H16" s="44"/>
      <c r="I16" s="48"/>
      <c r="J16" s="92"/>
      <c r="K16" s="49"/>
      <c r="L16" s="49"/>
      <c r="M16" s="49"/>
      <c r="N16" s="157"/>
    </row>
    <row r="17" spans="1:14" ht="21" customHeight="1" x14ac:dyDescent="0.35">
      <c r="A17" s="462"/>
      <c r="B17" s="57">
        <v>1</v>
      </c>
      <c r="C17" s="35" t="s">
        <v>9</v>
      </c>
      <c r="D17" s="35" t="s">
        <v>166</v>
      </c>
      <c r="E17" s="36"/>
      <c r="F17" s="37" t="s">
        <v>627</v>
      </c>
      <c r="G17" s="10"/>
      <c r="H17" s="213" t="s">
        <v>676</v>
      </c>
      <c r="I17" s="68" t="s">
        <v>4</v>
      </c>
      <c r="J17" s="95">
        <f>4.2*0.5</f>
        <v>2.1</v>
      </c>
      <c r="K17" s="312">
        <v>0</v>
      </c>
      <c r="L17" s="69">
        <f>K17*J17</f>
        <v>0</v>
      </c>
      <c r="M17" s="220"/>
      <c r="N17" s="148" t="s">
        <v>390</v>
      </c>
    </row>
    <row r="18" spans="1:14" ht="21" customHeight="1" x14ac:dyDescent="0.35">
      <c r="A18" s="462"/>
      <c r="B18" s="249"/>
      <c r="C18" s="259"/>
      <c r="D18" s="259"/>
      <c r="E18" s="303"/>
      <c r="F18" s="304"/>
      <c r="G18" s="305"/>
      <c r="H18" s="239" t="s">
        <v>173</v>
      </c>
      <c r="I18" s="211" t="s">
        <v>4</v>
      </c>
      <c r="J18" s="212">
        <f>4.2*0.5</f>
        <v>2.1</v>
      </c>
      <c r="K18" s="312">
        <v>0</v>
      </c>
      <c r="L18" s="220">
        <f>K18*J18</f>
        <v>0</v>
      </c>
      <c r="M18" s="220"/>
      <c r="N18" s="148" t="s">
        <v>390</v>
      </c>
    </row>
    <row r="19" spans="1:14" ht="21" customHeight="1" x14ac:dyDescent="0.35">
      <c r="A19" s="462"/>
      <c r="B19" s="249"/>
      <c r="C19" s="259"/>
      <c r="D19" s="259"/>
      <c r="E19" s="303"/>
      <c r="F19" s="304"/>
      <c r="G19" s="305"/>
      <c r="H19" s="239" t="s">
        <v>172</v>
      </c>
      <c r="I19" s="211" t="s">
        <v>4</v>
      </c>
      <c r="J19" s="212">
        <f>4.2*0.5</f>
        <v>2.1</v>
      </c>
      <c r="K19" s="312">
        <v>0</v>
      </c>
      <c r="L19" s="220">
        <f>K19*J19</f>
        <v>0</v>
      </c>
      <c r="M19" s="220"/>
      <c r="N19" s="148" t="s">
        <v>390</v>
      </c>
    </row>
    <row r="20" spans="1:14" s="105" customFormat="1" ht="21" customHeight="1" x14ac:dyDescent="0.35">
      <c r="A20" s="462"/>
      <c r="B20" s="249"/>
      <c r="C20" s="259"/>
      <c r="D20" s="259"/>
      <c r="E20" s="303"/>
      <c r="F20" s="304"/>
      <c r="G20" s="305"/>
      <c r="H20" s="239" t="s">
        <v>389</v>
      </c>
      <c r="I20" s="211" t="s">
        <v>4</v>
      </c>
      <c r="J20" s="212">
        <f>4.2*0.5</f>
        <v>2.1</v>
      </c>
      <c r="K20" s="312">
        <v>0</v>
      </c>
      <c r="L20" s="220">
        <f>K20*J20</f>
        <v>0</v>
      </c>
      <c r="M20" s="220"/>
      <c r="N20" s="148" t="s">
        <v>390</v>
      </c>
    </row>
    <row r="21" spans="1:14" ht="15" customHeight="1" x14ac:dyDescent="0.35">
      <c r="A21" s="462"/>
      <c r="B21" s="249"/>
      <c r="C21" s="259"/>
      <c r="D21" s="259"/>
      <c r="E21" s="303"/>
      <c r="F21" s="304"/>
      <c r="G21" s="305"/>
      <c r="H21" s="239" t="s">
        <v>455</v>
      </c>
      <c r="I21" s="211" t="s">
        <v>4</v>
      </c>
      <c r="J21" s="212">
        <f>2.5</f>
        <v>2.5</v>
      </c>
      <c r="K21" s="312">
        <v>0</v>
      </c>
      <c r="L21" s="220">
        <f>K21*J21</f>
        <v>0</v>
      </c>
      <c r="M21" s="220"/>
      <c r="N21" s="148"/>
    </row>
    <row r="22" spans="1:14" ht="15" customHeight="1" x14ac:dyDescent="0.35">
      <c r="A22" s="462"/>
      <c r="B22" s="249"/>
      <c r="C22" s="259"/>
      <c r="D22" s="259"/>
      <c r="E22" s="303"/>
      <c r="F22" s="304"/>
      <c r="G22" s="305"/>
      <c r="H22" s="221" t="s">
        <v>174</v>
      </c>
      <c r="I22" s="211" t="s">
        <v>4</v>
      </c>
      <c r="J22" s="212">
        <f>3</f>
        <v>3</v>
      </c>
      <c r="K22" s="312">
        <v>0</v>
      </c>
      <c r="L22" s="220">
        <f>K22*J22</f>
        <v>0</v>
      </c>
      <c r="M22" s="220"/>
      <c r="N22" s="148" t="s">
        <v>390</v>
      </c>
    </row>
    <row r="23" spans="1:14" s="135" customFormat="1" ht="15" customHeight="1" x14ac:dyDescent="0.35">
      <c r="A23" s="462"/>
      <c r="B23" s="249"/>
      <c r="C23" s="259"/>
      <c r="D23" s="259"/>
      <c r="E23" s="303"/>
      <c r="F23" s="304"/>
      <c r="G23" s="305"/>
      <c r="H23" s="221"/>
      <c r="I23" s="211"/>
      <c r="J23" s="212"/>
      <c r="K23" s="220"/>
      <c r="L23" s="220"/>
      <c r="M23" s="69"/>
      <c r="N23" s="148"/>
    </row>
    <row r="24" spans="1:14" s="135" customFormat="1" ht="15" customHeight="1" x14ac:dyDescent="0.35">
      <c r="A24" s="462"/>
      <c r="B24" s="249"/>
      <c r="C24" s="259"/>
      <c r="D24" s="259"/>
      <c r="E24" s="303"/>
      <c r="F24" s="304"/>
      <c r="G24" s="305"/>
      <c r="H24" s="221" t="s">
        <v>454</v>
      </c>
      <c r="I24" s="211" t="s">
        <v>4</v>
      </c>
      <c r="J24" s="212">
        <v>3.6</v>
      </c>
      <c r="K24" s="312">
        <v>0</v>
      </c>
      <c r="L24" s="220"/>
      <c r="M24" s="69">
        <f>K24*J24</f>
        <v>0</v>
      </c>
      <c r="N24" s="148"/>
    </row>
    <row r="25" spans="1:14" ht="15" customHeight="1" thickBot="1" x14ac:dyDescent="0.4">
      <c r="A25" s="462"/>
      <c r="B25" s="249"/>
      <c r="C25" s="250"/>
      <c r="D25" s="250"/>
      <c r="E25" s="251"/>
      <c r="F25" s="308"/>
      <c r="G25" s="217"/>
      <c r="H25" s="239"/>
      <c r="I25" s="211"/>
      <c r="J25" s="212"/>
      <c r="K25" s="220"/>
      <c r="L25" s="220"/>
      <c r="M25" s="69"/>
      <c r="N25" s="159"/>
    </row>
    <row r="26" spans="1:14" ht="19" thickBot="1" x14ac:dyDescent="0.4">
      <c r="A26" s="462"/>
      <c r="B26" s="453" t="s">
        <v>13</v>
      </c>
      <c r="C26" s="454"/>
      <c r="D26" s="454"/>
      <c r="E26" s="454"/>
      <c r="F26" s="454"/>
      <c r="G26" s="140"/>
      <c r="H26" s="140" t="s">
        <v>459</v>
      </c>
      <c r="I26" s="50"/>
      <c r="J26" s="94"/>
      <c r="K26" s="51"/>
      <c r="L26" s="52">
        <f>SUM(L17:L22)</f>
        <v>0</v>
      </c>
      <c r="M26" s="53">
        <f>SUM(M17:M24)</f>
        <v>0</v>
      </c>
      <c r="N26" s="159"/>
    </row>
    <row r="27" spans="1:14" ht="19" thickBot="1" x14ac:dyDescent="0.4">
      <c r="A27" s="463"/>
      <c r="B27" s="58"/>
      <c r="C27" s="21"/>
      <c r="D27" s="21"/>
      <c r="E27" s="14"/>
      <c r="F27" s="15"/>
      <c r="G27" s="15"/>
      <c r="H27" s="16"/>
      <c r="I27" s="17"/>
      <c r="J27" s="96"/>
      <c r="K27" s="277"/>
      <c r="L27" s="278"/>
      <c r="M27" s="276"/>
      <c r="N27" s="159"/>
    </row>
    <row r="28" spans="1:14" ht="18.5" x14ac:dyDescent="0.35">
      <c r="A28" s="450" t="s">
        <v>40</v>
      </c>
      <c r="B28" s="56"/>
      <c r="C28" s="20"/>
      <c r="D28" s="20"/>
      <c r="E28" s="8"/>
      <c r="F28" s="13"/>
      <c r="G28" s="13"/>
      <c r="H28" s="141"/>
      <c r="I28" s="68"/>
      <c r="J28" s="95"/>
      <c r="K28" s="69"/>
      <c r="L28" s="69"/>
      <c r="M28" s="69"/>
      <c r="N28" s="157"/>
    </row>
    <row r="29" spans="1:14" ht="18.75" customHeight="1" x14ac:dyDescent="0.35">
      <c r="A29" s="451"/>
      <c r="B29" s="57">
        <v>2</v>
      </c>
      <c r="C29" s="35" t="s">
        <v>14</v>
      </c>
      <c r="D29" s="35" t="s">
        <v>166</v>
      </c>
      <c r="E29" s="40"/>
      <c r="F29" s="160" t="s">
        <v>176</v>
      </c>
      <c r="G29" s="161" t="s">
        <v>16</v>
      </c>
      <c r="H29" s="103" t="s">
        <v>456</v>
      </c>
      <c r="I29" s="68" t="s">
        <v>4</v>
      </c>
      <c r="J29" s="95">
        <f>(3.14*0.65*0.65)*2</f>
        <v>2.6533000000000007</v>
      </c>
      <c r="K29" s="312">
        <v>0</v>
      </c>
      <c r="L29" s="69">
        <f>K29*J29</f>
        <v>0</v>
      </c>
      <c r="M29" s="312">
        <v>0</v>
      </c>
      <c r="N29" s="148" t="s">
        <v>447</v>
      </c>
    </row>
    <row r="30" spans="1:14" ht="18.5" x14ac:dyDescent="0.35">
      <c r="A30" s="451"/>
      <c r="B30" s="56"/>
      <c r="C30" s="20"/>
      <c r="D30" s="20"/>
      <c r="E30" s="8"/>
      <c r="F30" s="13"/>
      <c r="G30" s="161"/>
      <c r="H30" s="103"/>
      <c r="I30" s="68"/>
      <c r="J30" s="95"/>
      <c r="K30" s="69"/>
      <c r="L30" s="69"/>
      <c r="M30" s="69"/>
      <c r="N30" s="159"/>
    </row>
    <row r="31" spans="1:14" x14ac:dyDescent="0.35">
      <c r="A31" s="451"/>
      <c r="B31" s="56"/>
      <c r="C31" s="8"/>
      <c r="D31" s="8"/>
      <c r="E31" s="8"/>
      <c r="F31" s="13"/>
      <c r="G31" s="161" t="s">
        <v>17</v>
      </c>
      <c r="H31" s="103" t="s">
        <v>457</v>
      </c>
      <c r="I31" s="68" t="s">
        <v>5</v>
      </c>
      <c r="J31" s="95">
        <f>2*0.76+2*0.8</f>
        <v>3.12</v>
      </c>
      <c r="K31" s="312">
        <v>0</v>
      </c>
      <c r="L31" s="69">
        <f>K31*J31</f>
        <v>0</v>
      </c>
      <c r="M31" s="312">
        <v>0</v>
      </c>
      <c r="N31" s="148" t="s">
        <v>448</v>
      </c>
    </row>
    <row r="32" spans="1:14" x14ac:dyDescent="0.35">
      <c r="A32" s="451"/>
      <c r="B32" s="56"/>
      <c r="C32" s="8"/>
      <c r="D32" s="8"/>
      <c r="E32" s="8"/>
      <c r="F32" s="13"/>
      <c r="G32" s="161"/>
      <c r="H32" s="213" t="s">
        <v>677</v>
      </c>
      <c r="I32" s="68" t="s">
        <v>4</v>
      </c>
      <c r="J32" s="95">
        <f>2*0.14*0.14</f>
        <v>3.9200000000000006E-2</v>
      </c>
      <c r="K32" s="312">
        <v>0</v>
      </c>
      <c r="L32" s="69">
        <f>K32*J32</f>
        <v>0</v>
      </c>
      <c r="M32" s="312">
        <v>0</v>
      </c>
      <c r="N32" s="148"/>
    </row>
    <row r="33" spans="1:14" x14ac:dyDescent="0.35">
      <c r="A33" s="451"/>
      <c r="B33" s="56"/>
      <c r="C33" s="8"/>
      <c r="D33" s="8"/>
      <c r="E33" s="8"/>
      <c r="F33" s="13"/>
      <c r="G33" s="161"/>
      <c r="H33" s="103"/>
      <c r="I33" s="68"/>
      <c r="J33" s="95"/>
      <c r="K33" s="69"/>
      <c r="L33" s="69"/>
      <c r="M33" s="69"/>
      <c r="N33" s="148"/>
    </row>
    <row r="34" spans="1:14" x14ac:dyDescent="0.35">
      <c r="A34" s="451"/>
      <c r="B34" s="56"/>
      <c r="C34" s="8"/>
      <c r="D34" s="8"/>
      <c r="E34" s="8"/>
      <c r="F34" s="13"/>
      <c r="G34" s="161" t="s">
        <v>18</v>
      </c>
      <c r="H34" s="103" t="s">
        <v>177</v>
      </c>
      <c r="I34" s="68" t="s">
        <v>4</v>
      </c>
      <c r="J34" s="95">
        <f>3.14*0.65*0.65</f>
        <v>1.3266500000000003</v>
      </c>
      <c r="K34" s="312">
        <v>0</v>
      </c>
      <c r="L34" s="69">
        <f>K34*J34</f>
        <v>0</v>
      </c>
      <c r="M34" s="312">
        <v>0</v>
      </c>
      <c r="N34" s="148" t="s">
        <v>519</v>
      </c>
    </row>
    <row r="35" spans="1:14" x14ac:dyDescent="0.35">
      <c r="A35" s="451"/>
      <c r="B35" s="56"/>
      <c r="C35" s="8"/>
      <c r="D35" s="8"/>
      <c r="E35" s="8"/>
      <c r="F35" s="13"/>
      <c r="G35" s="161"/>
      <c r="H35" s="103" t="s">
        <v>149</v>
      </c>
      <c r="I35" s="68" t="s">
        <v>4</v>
      </c>
      <c r="J35" s="95">
        <f>J31*0.04*4+J32+4.1*0.038</f>
        <v>0.69419999999999993</v>
      </c>
      <c r="K35" s="312">
        <v>0</v>
      </c>
      <c r="L35" s="69">
        <f>K35*J35</f>
        <v>0</v>
      </c>
      <c r="M35" s="312">
        <v>0</v>
      </c>
      <c r="N35" s="148" t="s">
        <v>519</v>
      </c>
    </row>
    <row r="36" spans="1:14" x14ac:dyDescent="0.35">
      <c r="A36" s="451"/>
      <c r="B36" s="56"/>
      <c r="C36" s="8"/>
      <c r="D36" s="8"/>
      <c r="E36" s="8"/>
      <c r="F36" s="13"/>
      <c r="G36" s="13"/>
      <c r="H36" s="103"/>
      <c r="I36" s="68"/>
      <c r="J36" s="95"/>
      <c r="K36" s="69"/>
      <c r="L36" s="69"/>
      <c r="M36" s="69"/>
      <c r="N36" s="148"/>
    </row>
    <row r="37" spans="1:14" ht="15.5" x14ac:dyDescent="0.35">
      <c r="A37" s="451"/>
      <c r="B37" s="76"/>
      <c r="C37" s="77"/>
      <c r="D37" s="77"/>
      <c r="E37" s="77"/>
      <c r="F37" s="25"/>
      <c r="G37" s="64"/>
      <c r="H37" s="65" t="s">
        <v>459</v>
      </c>
      <c r="I37" s="66"/>
      <c r="J37" s="102"/>
      <c r="K37" s="67"/>
      <c r="L37" s="89">
        <f>SUM(L29:L35)</f>
        <v>0</v>
      </c>
      <c r="M37" s="89">
        <f>SUM(M29:M35)</f>
        <v>0</v>
      </c>
      <c r="N37" s="148"/>
    </row>
    <row r="38" spans="1:14" x14ac:dyDescent="0.35">
      <c r="A38" s="451"/>
      <c r="B38" s="56"/>
      <c r="C38" s="8"/>
      <c r="D38" s="8"/>
      <c r="E38" s="8"/>
      <c r="F38" s="28"/>
      <c r="G38" s="28"/>
      <c r="H38" s="29"/>
      <c r="I38" s="29"/>
      <c r="J38" s="97"/>
      <c r="K38" s="29"/>
      <c r="L38" s="29"/>
      <c r="M38" s="29"/>
      <c r="N38" s="148"/>
    </row>
    <row r="39" spans="1:14" ht="18.5" x14ac:dyDescent="0.35">
      <c r="A39" s="451"/>
      <c r="B39" s="57">
        <v>3</v>
      </c>
      <c r="C39" s="35" t="s">
        <v>14</v>
      </c>
      <c r="D39" s="35" t="s">
        <v>167</v>
      </c>
      <c r="E39" s="40"/>
      <c r="F39" s="160" t="s">
        <v>175</v>
      </c>
      <c r="G39" s="161" t="s">
        <v>16</v>
      </c>
      <c r="H39" s="103" t="s">
        <v>473</v>
      </c>
      <c r="I39" s="68" t="s">
        <v>4</v>
      </c>
      <c r="J39" s="95">
        <f>2*12</f>
        <v>24</v>
      </c>
      <c r="K39" s="312">
        <v>0</v>
      </c>
      <c r="L39" s="69">
        <f>K39*J39</f>
        <v>0</v>
      </c>
      <c r="M39" s="312">
        <v>0</v>
      </c>
      <c r="N39" s="148"/>
    </row>
    <row r="40" spans="1:14" ht="18.5" x14ac:dyDescent="0.35">
      <c r="A40" s="451"/>
      <c r="B40" s="56"/>
      <c r="C40" s="20"/>
      <c r="D40" s="20"/>
      <c r="E40" s="8"/>
      <c r="F40" s="13"/>
      <c r="G40" s="161"/>
      <c r="H40" s="103"/>
      <c r="I40" s="68"/>
      <c r="J40" s="95"/>
      <c r="K40" s="69"/>
      <c r="L40" s="69"/>
      <c r="M40" s="69"/>
      <c r="N40" s="148"/>
    </row>
    <row r="41" spans="1:14" ht="29" x14ac:dyDescent="0.35">
      <c r="A41" s="451"/>
      <c r="B41" s="56"/>
      <c r="C41" s="8"/>
      <c r="D41" s="8"/>
      <c r="E41" s="8"/>
      <c r="F41" s="13"/>
      <c r="G41" s="161" t="s">
        <v>17</v>
      </c>
      <c r="H41" s="224" t="s">
        <v>691</v>
      </c>
      <c r="I41" s="68" t="s">
        <v>6</v>
      </c>
      <c r="J41" s="95">
        <v>26</v>
      </c>
      <c r="K41" s="312">
        <v>0</v>
      </c>
      <c r="L41" s="69">
        <f>K41*J41</f>
        <v>0</v>
      </c>
      <c r="M41" s="312">
        <v>0</v>
      </c>
      <c r="N41" s="148"/>
    </row>
    <row r="42" spans="1:14" x14ac:dyDescent="0.35">
      <c r="A42" s="451"/>
      <c r="B42" s="56"/>
      <c r="C42" s="8"/>
      <c r="D42" s="8"/>
      <c r="E42" s="8"/>
      <c r="F42" s="13"/>
      <c r="G42" s="161"/>
      <c r="H42" s="103"/>
      <c r="I42" s="68"/>
      <c r="J42" s="95"/>
      <c r="K42" s="69"/>
      <c r="L42" s="69"/>
      <c r="M42" s="69"/>
      <c r="N42" s="148"/>
    </row>
    <row r="43" spans="1:14" x14ac:dyDescent="0.35">
      <c r="A43" s="451"/>
      <c r="B43" s="56"/>
      <c r="C43" s="8"/>
      <c r="D43" s="8"/>
      <c r="E43" s="8"/>
      <c r="F43" s="13"/>
      <c r="G43" s="161" t="s">
        <v>18</v>
      </c>
      <c r="H43" s="103" t="s">
        <v>35</v>
      </c>
      <c r="I43" s="68" t="s">
        <v>4</v>
      </c>
      <c r="J43" s="95">
        <f>0.038*31</f>
        <v>1.1779999999999999</v>
      </c>
      <c r="K43" s="312">
        <v>0</v>
      </c>
      <c r="L43" s="69">
        <f>K43*J43</f>
        <v>0</v>
      </c>
      <c r="M43" s="312">
        <v>0</v>
      </c>
      <c r="N43" s="148" t="s">
        <v>519</v>
      </c>
    </row>
    <row r="44" spans="1:14" s="135" customFormat="1" x14ac:dyDescent="0.35">
      <c r="A44" s="451"/>
      <c r="B44" s="56"/>
      <c r="C44" s="8"/>
      <c r="D44" s="8"/>
      <c r="E44" s="8"/>
      <c r="F44" s="13"/>
      <c r="G44" s="161"/>
      <c r="H44" s="103" t="s">
        <v>403</v>
      </c>
      <c r="I44" s="68" t="s">
        <v>4</v>
      </c>
      <c r="J44" s="95">
        <f>12+0.025*31</f>
        <v>12.775</v>
      </c>
      <c r="K44" s="312">
        <v>0</v>
      </c>
      <c r="L44" s="69">
        <f>K44*J44</f>
        <v>0</v>
      </c>
      <c r="M44" s="312">
        <v>0</v>
      </c>
      <c r="N44" s="148"/>
    </row>
    <row r="45" spans="1:14" x14ac:dyDescent="0.35">
      <c r="A45" s="451"/>
      <c r="B45" s="56"/>
      <c r="C45" s="8"/>
      <c r="D45" s="8"/>
      <c r="E45" s="8"/>
      <c r="F45" s="13"/>
      <c r="G45" s="13"/>
      <c r="H45" s="103"/>
      <c r="I45" s="68"/>
      <c r="J45" s="95"/>
      <c r="K45" s="69"/>
      <c r="L45" s="69"/>
      <c r="M45" s="69"/>
      <c r="N45" s="148"/>
    </row>
    <row r="46" spans="1:14" ht="15.5" x14ac:dyDescent="0.35">
      <c r="A46" s="451"/>
      <c r="B46" s="76"/>
      <c r="C46" s="77"/>
      <c r="D46" s="77"/>
      <c r="E46" s="77"/>
      <c r="F46" s="30"/>
      <c r="G46" s="31"/>
      <c r="H46" s="32" t="s">
        <v>459</v>
      </c>
      <c r="I46" s="33"/>
      <c r="J46" s="98"/>
      <c r="K46" s="34"/>
      <c r="L46" s="137">
        <f>SUM(L39:L44)</f>
        <v>0</v>
      </c>
      <c r="M46" s="137">
        <f>SUM(M39:M44)</f>
        <v>0</v>
      </c>
      <c r="N46" s="148"/>
    </row>
    <row r="47" spans="1:14" x14ac:dyDescent="0.35">
      <c r="A47" s="451"/>
      <c r="B47" s="56"/>
      <c r="C47" s="8"/>
      <c r="D47" s="8"/>
      <c r="E47" s="8"/>
      <c r="F47" s="8"/>
      <c r="G47" s="8"/>
      <c r="H47" s="141"/>
      <c r="I47" s="141"/>
      <c r="J47" s="162"/>
      <c r="K47" s="141"/>
      <c r="L47" s="141"/>
      <c r="M47" s="141"/>
      <c r="N47" s="148"/>
    </row>
    <row r="48" spans="1:14" ht="18.5" x14ac:dyDescent="0.35">
      <c r="A48" s="451"/>
      <c r="B48" s="57">
        <v>4</v>
      </c>
      <c r="C48" s="35" t="s">
        <v>14</v>
      </c>
      <c r="D48" s="35" t="s">
        <v>168</v>
      </c>
      <c r="E48" s="40"/>
      <c r="F48" s="160" t="s">
        <v>170</v>
      </c>
      <c r="G48" s="161" t="s">
        <v>16</v>
      </c>
      <c r="H48" s="103" t="s">
        <v>474</v>
      </c>
      <c r="I48" s="68" t="s">
        <v>4</v>
      </c>
      <c r="J48" s="212">
        <f>(1.5*0.4+2*0.4*0.4)</f>
        <v>0.92000000000000015</v>
      </c>
      <c r="K48" s="312">
        <v>0</v>
      </c>
      <c r="L48" s="69">
        <f>K48*J48</f>
        <v>0</v>
      </c>
      <c r="M48" s="312">
        <v>0</v>
      </c>
      <c r="N48" s="148" t="s">
        <v>480</v>
      </c>
    </row>
    <row r="49" spans="1:14" x14ac:dyDescent="0.35">
      <c r="A49" s="451"/>
      <c r="B49" s="56"/>
      <c r="C49" s="8"/>
      <c r="D49" s="8"/>
      <c r="E49" s="8"/>
      <c r="F49" s="13"/>
      <c r="G49" s="161"/>
      <c r="H49" s="103"/>
      <c r="I49" s="68"/>
      <c r="J49" s="212"/>
      <c r="K49" s="69"/>
      <c r="L49" s="69"/>
      <c r="M49" s="69"/>
      <c r="N49" s="148"/>
    </row>
    <row r="50" spans="1:14" x14ac:dyDescent="0.35">
      <c r="A50" s="451"/>
      <c r="B50" s="56"/>
      <c r="C50" s="8"/>
      <c r="D50" s="8"/>
      <c r="E50" s="8"/>
      <c r="F50" s="13"/>
      <c r="G50" s="161" t="s">
        <v>18</v>
      </c>
      <c r="H50" s="103" t="s">
        <v>171</v>
      </c>
      <c r="I50" s="68" t="s">
        <v>4</v>
      </c>
      <c r="J50" s="212">
        <f>J48*2</f>
        <v>1.8400000000000003</v>
      </c>
      <c r="K50" s="312">
        <v>0</v>
      </c>
      <c r="L50" s="69">
        <f>K50*J50</f>
        <v>0</v>
      </c>
      <c r="M50" s="312">
        <v>0</v>
      </c>
      <c r="N50" s="148" t="s">
        <v>768</v>
      </c>
    </row>
    <row r="51" spans="1:14" x14ac:dyDescent="0.35">
      <c r="A51" s="451"/>
      <c r="B51" s="56"/>
      <c r="C51" s="8"/>
      <c r="D51" s="8"/>
      <c r="E51" s="8"/>
      <c r="F51" s="13"/>
      <c r="G51" s="13"/>
      <c r="H51" s="103"/>
      <c r="I51" s="68"/>
      <c r="J51" s="95"/>
      <c r="K51" s="69"/>
      <c r="L51" s="69"/>
      <c r="M51" s="69"/>
      <c r="N51" s="148"/>
    </row>
    <row r="52" spans="1:14" s="74" customFormat="1" ht="15.5" x14ac:dyDescent="0.35">
      <c r="A52" s="451"/>
      <c r="B52" s="56"/>
      <c r="C52" s="8"/>
      <c r="D52" s="8"/>
      <c r="E52" s="8"/>
      <c r="F52" s="25" t="s">
        <v>478</v>
      </c>
      <c r="G52" s="13"/>
      <c r="H52" s="103" t="s">
        <v>690</v>
      </c>
      <c r="I52" s="68"/>
      <c r="J52" s="95"/>
      <c r="K52" s="69"/>
      <c r="L52" s="89">
        <f>SUM(L48:L50)</f>
        <v>0</v>
      </c>
      <c r="M52" s="89">
        <f>SUM(M48:M50)</f>
        <v>0</v>
      </c>
      <c r="N52" s="148"/>
    </row>
    <row r="53" spans="1:14" ht="15.5" x14ac:dyDescent="0.35">
      <c r="A53" s="451"/>
      <c r="B53" s="76"/>
      <c r="C53" s="77"/>
      <c r="D53" s="77"/>
      <c r="E53" s="77"/>
      <c r="F53" s="231" t="s">
        <v>479</v>
      </c>
      <c r="G53" s="209"/>
      <c r="H53" s="230" t="s">
        <v>477</v>
      </c>
      <c r="I53" s="33"/>
      <c r="J53" s="98"/>
      <c r="K53" s="34"/>
      <c r="L53" s="137">
        <f>L52*3</f>
        <v>0</v>
      </c>
      <c r="M53" s="137">
        <f>M52*3</f>
        <v>0</v>
      </c>
      <c r="N53" s="148"/>
    </row>
    <row r="54" spans="1:14" x14ac:dyDescent="0.35">
      <c r="A54" s="451"/>
      <c r="B54" s="56"/>
      <c r="C54" s="8"/>
      <c r="D54" s="8"/>
      <c r="E54" s="8"/>
      <c r="F54" s="8"/>
      <c r="G54" s="8"/>
      <c r="H54" s="141"/>
      <c r="I54" s="141"/>
      <c r="J54" s="162"/>
      <c r="K54" s="141"/>
      <c r="L54" s="141"/>
      <c r="M54" s="141"/>
      <c r="N54" s="148"/>
    </row>
    <row r="55" spans="1:14" ht="18.5" x14ac:dyDescent="0.35">
      <c r="A55" s="451"/>
      <c r="B55" s="57">
        <v>5</v>
      </c>
      <c r="C55" s="35" t="s">
        <v>14</v>
      </c>
      <c r="D55" s="35" t="s">
        <v>169</v>
      </c>
      <c r="E55" s="40"/>
      <c r="F55" s="160" t="s">
        <v>32</v>
      </c>
      <c r="G55" s="161" t="s">
        <v>17</v>
      </c>
      <c r="H55" s="103" t="s">
        <v>475</v>
      </c>
      <c r="I55" s="68" t="s">
        <v>5</v>
      </c>
      <c r="J55" s="95">
        <f>1.78*2+0.83*2</f>
        <v>5.22</v>
      </c>
      <c r="K55" s="312">
        <v>0</v>
      </c>
      <c r="L55" s="69">
        <f>K55*J55</f>
        <v>0</v>
      </c>
      <c r="M55" s="312">
        <v>0</v>
      </c>
      <c r="N55" s="148"/>
    </row>
    <row r="56" spans="1:14" ht="18.5" x14ac:dyDescent="0.35">
      <c r="A56" s="451"/>
      <c r="B56" s="56"/>
      <c r="C56" s="20"/>
      <c r="D56" s="20"/>
      <c r="E56" s="8"/>
      <c r="F56" s="13"/>
      <c r="G56" s="161"/>
      <c r="H56" s="103" t="s">
        <v>476</v>
      </c>
      <c r="I56" s="68" t="s">
        <v>5</v>
      </c>
      <c r="J56" s="95">
        <f>3*0.75</f>
        <v>2.25</v>
      </c>
      <c r="K56" s="312">
        <v>0</v>
      </c>
      <c r="L56" s="69">
        <f>K56*J56</f>
        <v>0</v>
      </c>
      <c r="M56" s="312">
        <v>0</v>
      </c>
      <c r="N56" s="148"/>
    </row>
    <row r="57" spans="1:14" x14ac:dyDescent="0.35">
      <c r="A57" s="451"/>
      <c r="B57" s="56"/>
      <c r="C57" s="8"/>
      <c r="D57" s="8"/>
      <c r="E57" s="8"/>
      <c r="F57" s="13"/>
      <c r="G57" s="161"/>
      <c r="H57" s="103" t="s">
        <v>705</v>
      </c>
      <c r="I57" s="68" t="s">
        <v>5</v>
      </c>
      <c r="J57" s="95">
        <f>3*0.75*0.03</f>
        <v>6.7500000000000004E-2</v>
      </c>
      <c r="K57" s="312">
        <v>0</v>
      </c>
      <c r="L57" s="69">
        <f>K57*J57</f>
        <v>0</v>
      </c>
      <c r="M57" s="312">
        <v>0</v>
      </c>
      <c r="N57" s="148"/>
    </row>
    <row r="58" spans="1:14" x14ac:dyDescent="0.35">
      <c r="A58" s="451"/>
      <c r="B58" s="56"/>
      <c r="C58" s="8"/>
      <c r="D58" s="8"/>
      <c r="E58" s="8"/>
      <c r="F58" s="13"/>
      <c r="G58" s="161"/>
      <c r="H58" s="103"/>
      <c r="I58" s="68"/>
      <c r="J58" s="95"/>
      <c r="K58" s="69"/>
      <c r="L58" s="69"/>
      <c r="M58" s="69"/>
      <c r="N58" s="148"/>
    </row>
    <row r="59" spans="1:14" x14ac:dyDescent="0.35">
      <c r="A59" s="451"/>
      <c r="B59" s="56"/>
      <c r="C59" s="8"/>
      <c r="D59" s="8"/>
      <c r="E59" s="8"/>
      <c r="F59" s="13"/>
      <c r="G59" s="161" t="s">
        <v>18</v>
      </c>
      <c r="H59" s="103" t="s">
        <v>498</v>
      </c>
      <c r="I59" s="68" t="s">
        <v>4</v>
      </c>
      <c r="J59" s="95">
        <f>J55*2*0.04*3+0.5</f>
        <v>1.7527999999999999</v>
      </c>
      <c r="K59" s="312">
        <v>0</v>
      </c>
      <c r="L59" s="69">
        <f>K59*J59</f>
        <v>0</v>
      </c>
      <c r="M59" s="312">
        <v>0</v>
      </c>
      <c r="N59" s="148" t="s">
        <v>519</v>
      </c>
    </row>
    <row r="60" spans="1:14" x14ac:dyDescent="0.35">
      <c r="A60" s="451"/>
      <c r="B60" s="56"/>
      <c r="C60" s="8"/>
      <c r="D60" s="8"/>
      <c r="E60" s="8"/>
      <c r="F60" s="13"/>
      <c r="G60" s="161"/>
      <c r="H60" s="103"/>
      <c r="I60" s="68"/>
      <c r="J60" s="95"/>
      <c r="K60" s="69"/>
      <c r="L60" s="69"/>
      <c r="M60" s="69"/>
      <c r="N60" s="148"/>
    </row>
    <row r="61" spans="1:14" x14ac:dyDescent="0.35">
      <c r="A61" s="451"/>
      <c r="B61" s="56"/>
      <c r="C61" s="8"/>
      <c r="D61" s="8"/>
      <c r="E61" s="8"/>
      <c r="F61" s="13"/>
      <c r="G61" s="161" t="s">
        <v>19</v>
      </c>
      <c r="H61" s="103" t="s">
        <v>770</v>
      </c>
      <c r="I61" s="68" t="s">
        <v>4</v>
      </c>
      <c r="J61" s="95">
        <f>0.79*0.79</f>
        <v>0.6241000000000001</v>
      </c>
      <c r="K61" s="312">
        <v>0</v>
      </c>
      <c r="L61" s="69">
        <f>K61*J61</f>
        <v>0</v>
      </c>
      <c r="M61" s="312">
        <v>0</v>
      </c>
      <c r="N61" s="148"/>
    </row>
    <row r="62" spans="1:14" x14ac:dyDescent="0.35">
      <c r="A62" s="451"/>
      <c r="B62" s="56"/>
      <c r="C62" s="8"/>
      <c r="D62" s="8"/>
      <c r="E62" s="8"/>
      <c r="F62" s="13"/>
      <c r="G62" s="13"/>
      <c r="H62" s="103"/>
      <c r="I62" s="68"/>
      <c r="J62" s="95"/>
      <c r="K62" s="69"/>
      <c r="L62" s="69"/>
      <c r="M62" s="69"/>
      <c r="N62" s="148"/>
    </row>
    <row r="63" spans="1:14" ht="15.5" x14ac:dyDescent="0.35">
      <c r="A63" s="451"/>
      <c r="B63" s="76"/>
      <c r="C63" s="77"/>
      <c r="D63" s="77"/>
      <c r="E63" s="77"/>
      <c r="F63" s="30"/>
      <c r="G63" s="31"/>
      <c r="H63" s="32" t="s">
        <v>459</v>
      </c>
      <c r="I63" s="33"/>
      <c r="J63" s="98"/>
      <c r="K63" s="34"/>
      <c r="L63" s="137">
        <f>SUM(L55:L61)</f>
        <v>0</v>
      </c>
      <c r="M63" s="137">
        <f>SUM(M55:M61)</f>
        <v>0</v>
      </c>
      <c r="N63" s="148"/>
    </row>
    <row r="64" spans="1:14" ht="15" thickBot="1" x14ac:dyDescent="0.4">
      <c r="A64" s="451"/>
      <c r="B64" s="56"/>
      <c r="C64" s="8"/>
      <c r="D64" s="8"/>
      <c r="E64" s="8"/>
      <c r="F64" s="8"/>
      <c r="G64" s="8"/>
      <c r="H64" s="141"/>
      <c r="I64" s="141"/>
      <c r="J64" s="162"/>
      <c r="K64" s="141"/>
      <c r="L64" s="141"/>
      <c r="M64" s="141"/>
      <c r="N64" s="148"/>
    </row>
    <row r="65" spans="1:14" ht="19" thickBot="1" x14ac:dyDescent="0.4">
      <c r="A65" s="451"/>
      <c r="B65" s="453" t="s">
        <v>37</v>
      </c>
      <c r="C65" s="454"/>
      <c r="D65" s="454"/>
      <c r="E65" s="454"/>
      <c r="F65" s="454"/>
      <c r="G65" s="140"/>
      <c r="H65" s="140" t="s">
        <v>459</v>
      </c>
      <c r="I65" s="50"/>
      <c r="J65" s="94"/>
      <c r="K65" s="51"/>
      <c r="L65" s="52">
        <f>L53+L46+L37+L63</f>
        <v>0</v>
      </c>
      <c r="M65" s="53">
        <f>+M53+M46+M37+M63</f>
        <v>0</v>
      </c>
      <c r="N65" s="148"/>
    </row>
    <row r="66" spans="1:14" ht="19" thickBot="1" x14ac:dyDescent="0.4">
      <c r="A66" s="452"/>
      <c r="B66" s="58"/>
      <c r="C66" s="21"/>
      <c r="D66" s="21"/>
      <c r="E66" s="14"/>
      <c r="F66" s="15"/>
      <c r="G66" s="15"/>
      <c r="H66" s="16"/>
      <c r="I66" s="17"/>
      <c r="J66" s="96"/>
      <c r="K66" s="22"/>
      <c r="L66" s="23"/>
      <c r="M66" s="24"/>
      <c r="N66" s="148"/>
    </row>
    <row r="67" spans="1:14" ht="18.5" x14ac:dyDescent="0.35">
      <c r="A67" s="450" t="s">
        <v>39</v>
      </c>
      <c r="B67" s="56"/>
      <c r="C67" s="20"/>
      <c r="D67" s="20"/>
      <c r="E67" s="8"/>
      <c r="F67" s="13"/>
      <c r="G67" s="13"/>
      <c r="H67" s="141"/>
      <c r="I67" s="68"/>
      <c r="J67" s="95"/>
      <c r="K67" s="69"/>
      <c r="L67" s="69"/>
      <c r="M67" s="69"/>
      <c r="N67" s="146"/>
    </row>
    <row r="68" spans="1:14" ht="18.5" x14ac:dyDescent="0.35">
      <c r="A68" s="451"/>
      <c r="B68" s="57">
        <v>6</v>
      </c>
      <c r="C68" s="35" t="s">
        <v>38</v>
      </c>
      <c r="D68" s="35" t="s">
        <v>166</v>
      </c>
      <c r="E68" s="40"/>
      <c r="F68" s="160" t="s">
        <v>32</v>
      </c>
      <c r="G68" s="161"/>
      <c r="H68" s="103" t="s">
        <v>42</v>
      </c>
      <c r="I68" s="68" t="s">
        <v>4</v>
      </c>
      <c r="J68" s="95">
        <f>0.75*0.75</f>
        <v>0.5625</v>
      </c>
      <c r="K68" s="312">
        <v>0</v>
      </c>
      <c r="L68" s="69">
        <f>K68*J68</f>
        <v>0</v>
      </c>
      <c r="M68" s="312">
        <v>0</v>
      </c>
      <c r="N68" s="148"/>
    </row>
    <row r="69" spans="1:14" x14ac:dyDescent="0.35">
      <c r="A69" s="451"/>
      <c r="B69" s="56"/>
      <c r="C69" s="8"/>
      <c r="D69" s="8"/>
      <c r="E69" s="8"/>
      <c r="F69" s="13"/>
      <c r="G69" s="13"/>
      <c r="H69" s="103"/>
      <c r="I69" s="68"/>
      <c r="J69" s="95"/>
      <c r="K69" s="69"/>
      <c r="L69" s="69"/>
      <c r="M69" s="69"/>
      <c r="N69" s="148"/>
    </row>
    <row r="70" spans="1:14" ht="15.5" x14ac:dyDescent="0.35">
      <c r="A70" s="451"/>
      <c r="B70" s="76"/>
      <c r="C70" s="77"/>
      <c r="D70" s="77"/>
      <c r="E70" s="77"/>
      <c r="F70" s="30"/>
      <c r="G70" s="31"/>
      <c r="H70" s="32" t="s">
        <v>459</v>
      </c>
      <c r="I70" s="33"/>
      <c r="J70" s="98"/>
      <c r="K70" s="34"/>
      <c r="L70" s="137">
        <f>SUM(L68:L68)</f>
        <v>0</v>
      </c>
      <c r="M70" s="137">
        <f>SUM(M68:M68)</f>
        <v>0</v>
      </c>
      <c r="N70" s="148"/>
    </row>
    <row r="71" spans="1:14" x14ac:dyDescent="0.35">
      <c r="A71" s="451"/>
      <c r="B71" s="56"/>
      <c r="C71" s="8"/>
      <c r="D71" s="8"/>
      <c r="E71" s="8"/>
      <c r="F71" s="28"/>
      <c r="G71" s="28"/>
      <c r="H71" s="29"/>
      <c r="I71" s="29"/>
      <c r="J71" s="97"/>
      <c r="K71" s="29"/>
      <c r="L71" s="29"/>
      <c r="M71" s="29"/>
      <c r="N71" s="148"/>
    </row>
    <row r="72" spans="1:14" ht="18.5" x14ac:dyDescent="0.35">
      <c r="A72" s="451"/>
      <c r="B72" s="57">
        <v>7</v>
      </c>
      <c r="C72" s="35" t="s">
        <v>38</v>
      </c>
      <c r="D72" s="35" t="s">
        <v>167</v>
      </c>
      <c r="E72" s="40"/>
      <c r="F72" s="160" t="s">
        <v>178</v>
      </c>
      <c r="G72" s="161"/>
      <c r="H72" s="103" t="s">
        <v>528</v>
      </c>
      <c r="I72" s="68" t="s">
        <v>4</v>
      </c>
      <c r="J72" s="95">
        <f>12</f>
        <v>12</v>
      </c>
      <c r="K72" s="312">
        <v>0</v>
      </c>
      <c r="L72" s="69">
        <f>K72*J72</f>
        <v>0</v>
      </c>
      <c r="M72" s="312">
        <v>0</v>
      </c>
      <c r="N72" s="148"/>
    </row>
    <row r="73" spans="1:14" x14ac:dyDescent="0.35">
      <c r="A73" s="451"/>
      <c r="B73" s="56"/>
      <c r="C73" s="8"/>
      <c r="D73" s="8"/>
      <c r="E73" s="8"/>
      <c r="F73" s="13"/>
      <c r="G73" s="13"/>
      <c r="H73" s="103"/>
      <c r="I73" s="68"/>
      <c r="J73" s="95"/>
      <c r="K73" s="69"/>
      <c r="L73" s="69"/>
      <c r="M73" s="69"/>
      <c r="N73" s="148"/>
    </row>
    <row r="74" spans="1:14" ht="15.5" x14ac:dyDescent="0.35">
      <c r="A74" s="451"/>
      <c r="B74" s="76"/>
      <c r="C74" s="77"/>
      <c r="D74" s="77"/>
      <c r="E74" s="77"/>
      <c r="F74" s="30"/>
      <c r="G74" s="31"/>
      <c r="H74" s="32" t="s">
        <v>459</v>
      </c>
      <c r="I74" s="33"/>
      <c r="J74" s="98"/>
      <c r="K74" s="34"/>
      <c r="L74" s="137">
        <f>SUM(L72:L72)</f>
        <v>0</v>
      </c>
      <c r="M74" s="137">
        <f>SUM(M72:M72)</f>
        <v>0</v>
      </c>
      <c r="N74" s="148"/>
    </row>
    <row r="75" spans="1:14" ht="15" thickBot="1" x14ac:dyDescent="0.4">
      <c r="A75" s="451"/>
      <c r="B75" s="56"/>
      <c r="C75" s="8"/>
      <c r="D75" s="8"/>
      <c r="E75" s="8"/>
      <c r="F75" s="8"/>
      <c r="G75" s="8"/>
      <c r="H75" s="141"/>
      <c r="I75" s="141"/>
      <c r="J75" s="162"/>
      <c r="K75" s="141"/>
      <c r="L75" s="141"/>
      <c r="M75" s="141"/>
      <c r="N75" s="148"/>
    </row>
    <row r="76" spans="1:14" ht="19" thickBot="1" x14ac:dyDescent="0.4">
      <c r="A76" s="451"/>
      <c r="B76" s="453" t="s">
        <v>43</v>
      </c>
      <c r="C76" s="454"/>
      <c r="D76" s="454"/>
      <c r="E76" s="454"/>
      <c r="F76" s="454"/>
      <c r="G76" s="140"/>
      <c r="H76" s="140" t="s">
        <v>459</v>
      </c>
      <c r="I76" s="50"/>
      <c r="J76" s="94"/>
      <c r="K76" s="51"/>
      <c r="L76" s="52">
        <f>L74+L70</f>
        <v>0</v>
      </c>
      <c r="M76" s="53">
        <f>M74+M70</f>
        <v>0</v>
      </c>
      <c r="N76" s="148"/>
    </row>
    <row r="77" spans="1:14" ht="19" thickBot="1" x14ac:dyDescent="0.4">
      <c r="A77" s="452"/>
      <c r="B77" s="58"/>
      <c r="C77" s="21"/>
      <c r="D77" s="21"/>
      <c r="E77" s="14"/>
      <c r="F77" s="15"/>
      <c r="G77" s="15"/>
      <c r="H77" s="16"/>
      <c r="I77" s="17"/>
      <c r="J77" s="96"/>
      <c r="K77" s="277"/>
      <c r="L77" s="278"/>
      <c r="M77" s="276"/>
      <c r="N77" s="148"/>
    </row>
    <row r="78" spans="1:14" ht="18.5" x14ac:dyDescent="0.35">
      <c r="A78" s="450" t="s">
        <v>46</v>
      </c>
      <c r="B78" s="56"/>
      <c r="C78" s="20"/>
      <c r="D78" s="20"/>
      <c r="E78" s="8"/>
      <c r="F78" s="13"/>
      <c r="G78" s="13"/>
      <c r="H78" s="141"/>
      <c r="I78" s="68"/>
      <c r="J78" s="95"/>
      <c r="K78" s="69"/>
      <c r="L78" s="69"/>
      <c r="M78" s="69"/>
      <c r="N78" s="146"/>
    </row>
    <row r="79" spans="1:14" ht="18.5" x14ac:dyDescent="0.35">
      <c r="A79" s="451"/>
      <c r="B79" s="57">
        <v>8</v>
      </c>
      <c r="C79" s="35" t="s">
        <v>47</v>
      </c>
      <c r="D79" s="35" t="s">
        <v>165</v>
      </c>
      <c r="E79" s="40"/>
      <c r="F79" s="160" t="s">
        <v>179</v>
      </c>
      <c r="G79" s="161"/>
      <c r="H79" s="163"/>
      <c r="I79" s="68"/>
      <c r="J79" s="95"/>
      <c r="K79" s="69"/>
      <c r="L79" s="69"/>
      <c r="M79" s="69"/>
      <c r="N79" s="148"/>
    </row>
    <row r="80" spans="1:14" x14ac:dyDescent="0.35">
      <c r="A80" s="451"/>
      <c r="B80" s="56"/>
      <c r="C80" s="8"/>
      <c r="D80" s="8"/>
      <c r="E80" s="8"/>
      <c r="F80" s="13"/>
      <c r="G80" s="13"/>
      <c r="H80" s="103"/>
      <c r="I80" s="68"/>
      <c r="J80" s="95"/>
      <c r="K80" s="69"/>
      <c r="L80" s="69"/>
      <c r="M80" s="69"/>
      <c r="N80" s="148"/>
    </row>
    <row r="81" spans="1:14" ht="15.5" x14ac:dyDescent="0.35">
      <c r="A81" s="451"/>
      <c r="B81" s="76"/>
      <c r="C81" s="77"/>
      <c r="D81" s="77"/>
      <c r="E81" s="77"/>
      <c r="F81" s="30"/>
      <c r="G81" s="31"/>
      <c r="H81" s="32" t="s">
        <v>459</v>
      </c>
      <c r="I81" s="33"/>
      <c r="J81" s="98"/>
      <c r="K81" s="34"/>
      <c r="L81" s="137">
        <f>SUM(L79:L79)</f>
        <v>0</v>
      </c>
      <c r="M81" s="137">
        <f>SUM(M79:M79)</f>
        <v>0</v>
      </c>
      <c r="N81" s="148"/>
    </row>
    <row r="82" spans="1:14" x14ac:dyDescent="0.35">
      <c r="A82" s="451"/>
      <c r="B82" s="56"/>
      <c r="C82" s="8"/>
      <c r="D82" s="8"/>
      <c r="E82" s="8"/>
      <c r="F82" s="8"/>
      <c r="G82" s="8"/>
      <c r="H82" s="141"/>
      <c r="I82" s="141"/>
      <c r="J82" s="162"/>
      <c r="K82" s="141"/>
      <c r="L82" s="141"/>
      <c r="M82" s="141"/>
      <c r="N82" s="148"/>
    </row>
    <row r="83" spans="1:14" ht="15" thickBot="1" x14ac:dyDescent="0.4">
      <c r="A83" s="451"/>
      <c r="B83" s="56"/>
      <c r="C83" s="8"/>
      <c r="D83" s="8"/>
      <c r="E83" s="8"/>
      <c r="F83" s="8"/>
      <c r="G83" s="8"/>
      <c r="H83" s="141"/>
      <c r="I83" s="141"/>
      <c r="J83" s="162"/>
      <c r="K83" s="141"/>
      <c r="L83" s="141"/>
      <c r="M83" s="141"/>
      <c r="N83" s="148"/>
    </row>
    <row r="84" spans="1:14" ht="19" thickBot="1" x14ac:dyDescent="0.4">
      <c r="A84" s="451"/>
      <c r="B84" s="453" t="s">
        <v>45</v>
      </c>
      <c r="C84" s="454"/>
      <c r="D84" s="454"/>
      <c r="E84" s="454"/>
      <c r="F84" s="454"/>
      <c r="G84" s="140"/>
      <c r="H84" s="140" t="s">
        <v>459</v>
      </c>
      <c r="I84" s="50"/>
      <c r="J84" s="94"/>
      <c r="K84" s="51"/>
      <c r="L84" s="52">
        <f>L81</f>
        <v>0</v>
      </c>
      <c r="M84" s="53">
        <f>M81</f>
        <v>0</v>
      </c>
      <c r="N84" s="148"/>
    </row>
    <row r="85" spans="1:14" ht="19" thickBot="1" x14ac:dyDescent="0.4">
      <c r="A85" s="452"/>
      <c r="B85" s="58"/>
      <c r="C85" s="21"/>
      <c r="D85" s="21"/>
      <c r="E85" s="14"/>
      <c r="F85" s="15"/>
      <c r="G85" s="15"/>
      <c r="H85" s="16"/>
      <c r="I85" s="17"/>
      <c r="J85" s="96"/>
      <c r="K85" s="277"/>
      <c r="L85" s="278"/>
      <c r="M85" s="276"/>
      <c r="N85" s="149"/>
    </row>
    <row r="86" spans="1:14" x14ac:dyDescent="0.35">
      <c r="A86" s="455"/>
      <c r="B86" s="249"/>
      <c r="C86" s="251"/>
      <c r="D86" s="251"/>
      <c r="E86" s="251"/>
      <c r="F86" s="263"/>
      <c r="G86" s="263"/>
      <c r="H86" s="240"/>
      <c r="I86" s="240"/>
      <c r="J86" s="267"/>
      <c r="K86" s="240"/>
      <c r="L86" s="240"/>
      <c r="M86" s="240"/>
      <c r="N86" s="219"/>
    </row>
    <row r="87" spans="1:14" ht="43.5" x14ac:dyDescent="0.35">
      <c r="A87" s="455"/>
      <c r="B87" s="57">
        <v>9</v>
      </c>
      <c r="C87" s="35" t="s">
        <v>60</v>
      </c>
      <c r="D87" s="35" t="s">
        <v>166</v>
      </c>
      <c r="E87" s="40"/>
      <c r="F87" s="160" t="s">
        <v>66</v>
      </c>
      <c r="G87" s="216" t="s">
        <v>73</v>
      </c>
      <c r="H87" s="239" t="s">
        <v>701</v>
      </c>
      <c r="I87" s="68" t="s">
        <v>6</v>
      </c>
      <c r="J87" s="95">
        <v>1</v>
      </c>
      <c r="K87" s="312">
        <v>0</v>
      </c>
      <c r="L87" s="220">
        <f>K87*J87</f>
        <v>0</v>
      </c>
      <c r="M87" s="312">
        <v>0</v>
      </c>
      <c r="N87" s="165" t="s">
        <v>576</v>
      </c>
    </row>
    <row r="88" spans="1:14" ht="18.5" x14ac:dyDescent="0.35">
      <c r="A88" s="455"/>
      <c r="B88" s="249"/>
      <c r="C88" s="250"/>
      <c r="D88" s="250"/>
      <c r="E88" s="251"/>
      <c r="F88" s="217"/>
      <c r="G88" s="309"/>
      <c r="H88" s="323" t="s">
        <v>729</v>
      </c>
      <c r="I88" s="68" t="s">
        <v>6</v>
      </c>
      <c r="J88" s="95">
        <v>1</v>
      </c>
      <c r="K88" s="312">
        <v>0</v>
      </c>
      <c r="L88" s="220">
        <f>K88*J88</f>
        <v>0</v>
      </c>
      <c r="M88" s="312">
        <v>0</v>
      </c>
      <c r="N88" s="253" t="s">
        <v>730</v>
      </c>
    </row>
    <row r="89" spans="1:14" x14ac:dyDescent="0.35">
      <c r="A89" s="455"/>
      <c r="B89" s="249"/>
      <c r="C89" s="251"/>
      <c r="D89" s="251"/>
      <c r="E89" s="251"/>
      <c r="F89" s="217"/>
      <c r="G89" s="217"/>
      <c r="H89" s="226" t="s">
        <v>65</v>
      </c>
      <c r="I89" s="68" t="s">
        <v>6</v>
      </c>
      <c r="J89" s="95">
        <v>1</v>
      </c>
      <c r="K89" s="312">
        <v>0</v>
      </c>
      <c r="L89" s="220">
        <f>K89*J89</f>
        <v>0</v>
      </c>
      <c r="M89" s="312">
        <v>0</v>
      </c>
      <c r="N89" s="165" t="s">
        <v>565</v>
      </c>
    </row>
    <row r="90" spans="1:14" s="74" customFormat="1" x14ac:dyDescent="0.35">
      <c r="A90" s="455"/>
      <c r="B90" s="249"/>
      <c r="C90" s="251"/>
      <c r="D90" s="251"/>
      <c r="E90" s="251"/>
      <c r="F90" s="217"/>
      <c r="G90" s="217"/>
      <c r="H90" s="226"/>
      <c r="I90" s="68"/>
      <c r="J90" s="95"/>
      <c r="K90" s="69"/>
      <c r="L90" s="69"/>
      <c r="M90" s="69"/>
      <c r="N90" s="165"/>
    </row>
    <row r="91" spans="1:14" x14ac:dyDescent="0.35">
      <c r="A91" s="455"/>
      <c r="B91" s="249"/>
      <c r="C91" s="251"/>
      <c r="D91" s="251"/>
      <c r="E91" s="251"/>
      <c r="F91" s="217"/>
      <c r="G91" s="217" t="s">
        <v>74</v>
      </c>
      <c r="H91" s="226" t="s">
        <v>80</v>
      </c>
      <c r="I91" s="214" t="s">
        <v>279</v>
      </c>
      <c r="J91" s="95">
        <v>3</v>
      </c>
      <c r="K91" s="312">
        <v>0</v>
      </c>
      <c r="L91" s="141"/>
      <c r="M91" s="69">
        <f>K91*J91</f>
        <v>0</v>
      </c>
      <c r="N91" s="165"/>
    </row>
    <row r="92" spans="1:14" x14ac:dyDescent="0.35">
      <c r="A92" s="455"/>
      <c r="B92" s="249"/>
      <c r="C92" s="251"/>
      <c r="D92" s="251"/>
      <c r="E92" s="251"/>
      <c r="F92" s="217"/>
      <c r="G92" s="217"/>
      <c r="H92" s="226" t="s">
        <v>76</v>
      </c>
      <c r="I92" s="214" t="s">
        <v>279</v>
      </c>
      <c r="J92" s="95">
        <v>1</v>
      </c>
      <c r="K92" s="312">
        <v>0</v>
      </c>
      <c r="L92" s="229"/>
      <c r="M92" s="220">
        <f>K92*J92</f>
        <v>0</v>
      </c>
      <c r="N92" s="165"/>
    </row>
    <row r="93" spans="1:14" x14ac:dyDescent="0.35">
      <c r="A93" s="455"/>
      <c r="B93" s="249"/>
      <c r="C93" s="251"/>
      <c r="D93" s="251"/>
      <c r="E93" s="251"/>
      <c r="F93" s="217"/>
      <c r="G93" s="217"/>
      <c r="H93" s="226"/>
      <c r="I93" s="68"/>
      <c r="J93" s="95"/>
      <c r="K93" s="69"/>
      <c r="L93" s="220"/>
      <c r="M93" s="220"/>
      <c r="N93" s="165"/>
    </row>
    <row r="94" spans="1:14" ht="15.5" x14ac:dyDescent="0.35">
      <c r="A94" s="455"/>
      <c r="B94" s="260"/>
      <c r="C94" s="261"/>
      <c r="D94" s="261"/>
      <c r="E94" s="261"/>
      <c r="F94" s="262"/>
      <c r="G94" s="255"/>
      <c r="H94" s="234" t="s">
        <v>459</v>
      </c>
      <c r="I94" s="86"/>
      <c r="J94" s="100"/>
      <c r="K94" s="87"/>
      <c r="L94" s="137">
        <f>SUM(L87:L92)</f>
        <v>0</v>
      </c>
      <c r="M94" s="137">
        <f>SUM(M87:M92)</f>
        <v>0</v>
      </c>
      <c r="N94" s="165"/>
    </row>
    <row r="95" spans="1:14" x14ac:dyDescent="0.35">
      <c r="A95" s="455"/>
      <c r="B95" s="249"/>
      <c r="C95" s="251"/>
      <c r="D95" s="251"/>
      <c r="E95" s="251"/>
      <c r="F95" s="263"/>
      <c r="G95" s="263"/>
      <c r="H95" s="240"/>
      <c r="I95" s="211"/>
      <c r="J95" s="212"/>
      <c r="K95" s="220"/>
      <c r="L95" s="240"/>
      <c r="M95" s="240"/>
      <c r="N95" s="165"/>
    </row>
    <row r="96" spans="1:14" ht="58" x14ac:dyDescent="0.35">
      <c r="A96" s="455"/>
      <c r="B96" s="57">
        <v>10</v>
      </c>
      <c r="C96" s="35" t="s">
        <v>60</v>
      </c>
      <c r="D96" s="35" t="s">
        <v>167</v>
      </c>
      <c r="E96" s="40"/>
      <c r="F96" s="160" t="s">
        <v>280</v>
      </c>
      <c r="G96" s="216" t="s">
        <v>73</v>
      </c>
      <c r="H96" s="239" t="s">
        <v>281</v>
      </c>
      <c r="I96" s="211" t="s">
        <v>6</v>
      </c>
      <c r="J96" s="212">
        <v>1</v>
      </c>
      <c r="K96" s="312">
        <v>0</v>
      </c>
      <c r="L96" s="220">
        <f>K96*J96</f>
        <v>0</v>
      </c>
      <c r="M96" s="312">
        <v>0</v>
      </c>
      <c r="N96" s="165" t="s">
        <v>572</v>
      </c>
    </row>
    <row r="97" spans="1:14" s="74" customFormat="1" ht="18.5" x14ac:dyDescent="0.35">
      <c r="A97" s="455"/>
      <c r="B97" s="249"/>
      <c r="C97" s="259"/>
      <c r="D97" s="259"/>
      <c r="E97" s="251"/>
      <c r="F97" s="241"/>
      <c r="G97" s="216"/>
      <c r="H97" s="210" t="s">
        <v>64</v>
      </c>
      <c r="I97" s="211" t="s">
        <v>6</v>
      </c>
      <c r="J97" s="212">
        <v>1</v>
      </c>
      <c r="K97" s="312">
        <v>0</v>
      </c>
      <c r="L97" s="220">
        <f>K97*J97</f>
        <v>0</v>
      </c>
      <c r="M97" s="312">
        <v>0</v>
      </c>
      <c r="N97" s="165" t="s">
        <v>571</v>
      </c>
    </row>
    <row r="98" spans="1:14" ht="18.5" x14ac:dyDescent="0.35">
      <c r="A98" s="455"/>
      <c r="B98" s="249"/>
      <c r="C98" s="259"/>
      <c r="D98" s="259"/>
      <c r="E98" s="251"/>
      <c r="F98" s="241"/>
      <c r="G98" s="216"/>
      <c r="H98" s="210" t="s">
        <v>65</v>
      </c>
      <c r="I98" s="211" t="s">
        <v>6</v>
      </c>
      <c r="J98" s="212">
        <v>1</v>
      </c>
      <c r="K98" s="312">
        <v>0</v>
      </c>
      <c r="L98" s="220">
        <f>K98*J98</f>
        <v>0</v>
      </c>
      <c r="M98" s="312">
        <v>0</v>
      </c>
      <c r="N98" s="165" t="s">
        <v>565</v>
      </c>
    </row>
    <row r="99" spans="1:14" s="74" customFormat="1" ht="18.5" x14ac:dyDescent="0.35">
      <c r="A99" s="455"/>
      <c r="B99" s="249"/>
      <c r="C99" s="259"/>
      <c r="D99" s="259"/>
      <c r="E99" s="251"/>
      <c r="F99" s="241"/>
      <c r="G99" s="309"/>
      <c r="H99" s="210" t="s">
        <v>282</v>
      </c>
      <c r="I99" s="211" t="s">
        <v>6</v>
      </c>
      <c r="J99" s="212">
        <v>1</v>
      </c>
      <c r="K99" s="312">
        <v>0</v>
      </c>
      <c r="L99" s="220">
        <f>K99*J99</f>
        <v>0</v>
      </c>
      <c r="M99" s="312">
        <v>0</v>
      </c>
      <c r="N99" s="148" t="s">
        <v>715</v>
      </c>
    </row>
    <row r="100" spans="1:14" s="74" customFormat="1" ht="18.5" x14ac:dyDescent="0.35">
      <c r="A100" s="455"/>
      <c r="B100" s="249"/>
      <c r="C100" s="259"/>
      <c r="D100" s="259"/>
      <c r="E100" s="251"/>
      <c r="F100" s="241"/>
      <c r="G100" s="216"/>
      <c r="H100" s="210"/>
      <c r="I100" s="211"/>
      <c r="J100" s="212"/>
      <c r="K100" s="220"/>
      <c r="L100" s="229"/>
      <c r="M100" s="220"/>
      <c r="N100" s="148"/>
    </row>
    <row r="101" spans="1:14" x14ac:dyDescent="0.35">
      <c r="A101" s="455"/>
      <c r="B101" s="249"/>
      <c r="C101" s="251"/>
      <c r="D101" s="251"/>
      <c r="E101" s="251"/>
      <c r="F101" s="217"/>
      <c r="G101" s="217" t="s">
        <v>74</v>
      </c>
      <c r="H101" s="210" t="s">
        <v>283</v>
      </c>
      <c r="I101" s="214" t="s">
        <v>279</v>
      </c>
      <c r="J101" s="212">
        <v>10</v>
      </c>
      <c r="K101" s="312">
        <v>0</v>
      </c>
      <c r="L101" s="229"/>
      <c r="M101" s="220">
        <f>K101*J101</f>
        <v>0</v>
      </c>
      <c r="N101" s="148"/>
    </row>
    <row r="102" spans="1:14" s="74" customFormat="1" x14ac:dyDescent="0.35">
      <c r="A102" s="455"/>
      <c r="B102" s="249"/>
      <c r="C102" s="251"/>
      <c r="D102" s="251"/>
      <c r="E102" s="251"/>
      <c r="F102" s="217"/>
      <c r="G102" s="217"/>
      <c r="H102" s="210" t="s">
        <v>284</v>
      </c>
      <c r="I102" s="214" t="s">
        <v>279</v>
      </c>
      <c r="J102" s="215">
        <v>5</v>
      </c>
      <c r="K102" s="312">
        <v>0</v>
      </c>
      <c r="L102" s="232"/>
      <c r="M102" s="233">
        <f>K102*J102</f>
        <v>0</v>
      </c>
      <c r="N102" s="148"/>
    </row>
    <row r="103" spans="1:14" ht="29" x14ac:dyDescent="0.35">
      <c r="A103" s="455"/>
      <c r="B103" s="249"/>
      <c r="C103" s="251"/>
      <c r="D103" s="251"/>
      <c r="E103" s="251"/>
      <c r="F103" s="217"/>
      <c r="G103" s="217"/>
      <c r="H103" s="224" t="s">
        <v>731</v>
      </c>
      <c r="I103" s="214" t="s">
        <v>279</v>
      </c>
      <c r="J103" s="212">
        <v>2</v>
      </c>
      <c r="K103" s="312">
        <v>0</v>
      </c>
      <c r="L103" s="229"/>
      <c r="M103" s="220">
        <f>K103*J103</f>
        <v>0</v>
      </c>
      <c r="N103" s="148"/>
    </row>
    <row r="104" spans="1:14" x14ac:dyDescent="0.35">
      <c r="A104" s="455"/>
      <c r="B104" s="249"/>
      <c r="C104" s="251"/>
      <c r="D104" s="251"/>
      <c r="E104" s="251"/>
      <c r="F104" s="217"/>
      <c r="G104" s="217"/>
      <c r="H104" s="239"/>
      <c r="I104" s="211"/>
      <c r="J104" s="212"/>
      <c r="K104" s="220"/>
      <c r="L104" s="220"/>
      <c r="M104" s="220"/>
      <c r="N104" s="148"/>
    </row>
    <row r="105" spans="1:14" ht="15.5" x14ac:dyDescent="0.35">
      <c r="A105" s="455"/>
      <c r="B105" s="260"/>
      <c r="C105" s="261"/>
      <c r="D105" s="261"/>
      <c r="E105" s="261"/>
      <c r="F105" s="262"/>
      <c r="G105" s="255"/>
      <c r="H105" s="234" t="s">
        <v>459</v>
      </c>
      <c r="I105" s="256"/>
      <c r="J105" s="257"/>
      <c r="K105" s="258"/>
      <c r="L105" s="137">
        <f>SUM(L96:L103)</f>
        <v>0</v>
      </c>
      <c r="M105" s="137">
        <f>SUM(M96:M103)</f>
        <v>0</v>
      </c>
      <c r="N105" s="148"/>
    </row>
    <row r="106" spans="1:14" s="135" customFormat="1" x14ac:dyDescent="0.35">
      <c r="A106" s="455"/>
      <c r="B106" s="249"/>
      <c r="C106" s="251"/>
      <c r="D106" s="251"/>
      <c r="E106" s="251"/>
      <c r="F106" s="263"/>
      <c r="G106" s="263"/>
      <c r="H106" s="240"/>
      <c r="I106" s="211"/>
      <c r="J106" s="212"/>
      <c r="K106" s="220"/>
      <c r="L106" s="240"/>
      <c r="M106" s="240"/>
      <c r="N106" s="165"/>
    </row>
    <row r="107" spans="1:14" s="135" customFormat="1" ht="18.5" x14ac:dyDescent="0.35">
      <c r="A107" s="455"/>
      <c r="B107" s="57">
        <v>11</v>
      </c>
      <c r="C107" s="35" t="s">
        <v>60</v>
      </c>
      <c r="D107" s="35" t="s">
        <v>168</v>
      </c>
      <c r="E107" s="40"/>
      <c r="F107" s="160" t="s">
        <v>428</v>
      </c>
      <c r="G107" s="216" t="s">
        <v>73</v>
      </c>
      <c r="H107" s="239" t="s">
        <v>429</v>
      </c>
      <c r="I107" s="211" t="s">
        <v>6</v>
      </c>
      <c r="J107" s="212">
        <v>1</v>
      </c>
      <c r="K107" s="312">
        <v>0</v>
      </c>
      <c r="L107" s="220">
        <f>K107*J107</f>
        <v>0</v>
      </c>
      <c r="M107" s="312">
        <v>0</v>
      </c>
      <c r="N107" s="165"/>
    </row>
    <row r="108" spans="1:14" s="135" customFormat="1" x14ac:dyDescent="0.35">
      <c r="A108" s="455"/>
      <c r="B108" s="249"/>
      <c r="C108" s="251"/>
      <c r="D108" s="251"/>
      <c r="E108" s="251"/>
      <c r="F108" s="217"/>
      <c r="G108" s="217"/>
      <c r="H108" s="239"/>
      <c r="I108" s="211"/>
      <c r="J108" s="212"/>
      <c r="K108" s="220"/>
      <c r="L108" s="220"/>
      <c r="M108" s="220"/>
      <c r="N108" s="148"/>
    </row>
    <row r="109" spans="1:14" s="135" customFormat="1" ht="15.5" x14ac:dyDescent="0.35">
      <c r="A109" s="455"/>
      <c r="B109" s="260"/>
      <c r="C109" s="261"/>
      <c r="D109" s="261"/>
      <c r="E109" s="261"/>
      <c r="F109" s="262"/>
      <c r="G109" s="255"/>
      <c r="H109" s="234" t="s">
        <v>459</v>
      </c>
      <c r="I109" s="256"/>
      <c r="J109" s="257"/>
      <c r="K109" s="258"/>
      <c r="L109" s="137">
        <f>SUM(L107)</f>
        <v>0</v>
      </c>
      <c r="M109" s="137">
        <f>SUM(M107)</f>
        <v>0</v>
      </c>
      <c r="N109" s="148"/>
    </row>
    <row r="110" spans="1:14" ht="15" thickBot="1" x14ac:dyDescent="0.4">
      <c r="A110" s="455"/>
      <c r="B110" s="249"/>
      <c r="C110" s="251"/>
      <c r="D110" s="251"/>
      <c r="E110" s="251"/>
      <c r="F110" s="251"/>
      <c r="G110" s="251"/>
      <c r="H110" s="229"/>
      <c r="I110" s="229"/>
      <c r="J110" s="268"/>
      <c r="K110" s="229"/>
      <c r="L110" s="166"/>
      <c r="M110" s="166"/>
      <c r="N110" s="148"/>
    </row>
    <row r="111" spans="1:14" ht="19" thickBot="1" x14ac:dyDescent="0.4">
      <c r="A111" s="455"/>
      <c r="B111" s="453" t="s">
        <v>56</v>
      </c>
      <c r="C111" s="454"/>
      <c r="D111" s="454"/>
      <c r="E111" s="454"/>
      <c r="F111" s="454"/>
      <c r="G111" s="140"/>
      <c r="H111" s="140" t="s">
        <v>459</v>
      </c>
      <c r="I111" s="50"/>
      <c r="J111" s="94"/>
      <c r="K111" s="51"/>
      <c r="L111" s="52">
        <f>L109+L105+L94</f>
        <v>0</v>
      </c>
      <c r="M111" s="53">
        <f>M105+M94+M109</f>
        <v>0</v>
      </c>
      <c r="N111" s="148" t="s">
        <v>285</v>
      </c>
    </row>
    <row r="112" spans="1:14" ht="19" thickBot="1" x14ac:dyDescent="0.4">
      <c r="A112" s="456"/>
      <c r="B112" s="293"/>
      <c r="C112" s="294"/>
      <c r="D112" s="294"/>
      <c r="E112" s="295"/>
      <c r="F112" s="296"/>
      <c r="G112" s="296"/>
      <c r="H112" s="297"/>
      <c r="I112" s="276"/>
      <c r="J112" s="298"/>
      <c r="K112" s="277"/>
      <c r="L112" s="278"/>
      <c r="M112" s="276"/>
      <c r="N112" s="149"/>
    </row>
    <row r="113" spans="1:14" ht="18.5" x14ac:dyDescent="0.35">
      <c r="A113" s="450" t="s">
        <v>71</v>
      </c>
      <c r="B113" s="56"/>
      <c r="C113" s="20"/>
      <c r="D113" s="20"/>
      <c r="E113" s="8"/>
      <c r="F113" s="13"/>
      <c r="G113" s="13"/>
      <c r="H113" s="141"/>
      <c r="I113" s="68"/>
      <c r="J113" s="95"/>
      <c r="K113" s="69"/>
      <c r="L113" s="69"/>
      <c r="M113" s="69"/>
      <c r="N113" s="146"/>
    </row>
    <row r="114" spans="1:14" ht="18.75" customHeight="1" x14ac:dyDescent="0.35">
      <c r="A114" s="451"/>
      <c r="B114" s="57">
        <v>12</v>
      </c>
      <c r="C114" s="35" t="s">
        <v>72</v>
      </c>
      <c r="D114" s="35" t="s">
        <v>166</v>
      </c>
      <c r="E114" s="40"/>
      <c r="F114" s="160" t="s">
        <v>249</v>
      </c>
      <c r="G114" s="161"/>
      <c r="H114" s="103" t="s">
        <v>692</v>
      </c>
      <c r="I114" s="68" t="s">
        <v>6</v>
      </c>
      <c r="J114" s="95">
        <v>1</v>
      </c>
      <c r="K114" s="313"/>
      <c r="L114" s="220"/>
      <c r="M114" s="69"/>
      <c r="N114" s="223" t="s">
        <v>678</v>
      </c>
    </row>
    <row r="115" spans="1:14" x14ac:dyDescent="0.35">
      <c r="A115" s="451"/>
      <c r="B115" s="56"/>
      <c r="C115" s="8"/>
      <c r="D115" s="8"/>
      <c r="E115" s="8"/>
      <c r="F115" s="13"/>
      <c r="G115" s="13"/>
      <c r="H115" s="103"/>
      <c r="I115" s="68"/>
      <c r="J115" s="95"/>
      <c r="K115" s="69"/>
      <c r="L115" s="69"/>
      <c r="M115" s="69"/>
      <c r="N115" s="148"/>
    </row>
    <row r="116" spans="1:14" ht="15.5" x14ac:dyDescent="0.35">
      <c r="A116" s="451"/>
      <c r="B116" s="76"/>
      <c r="C116" s="77"/>
      <c r="D116" s="77"/>
      <c r="E116" s="77"/>
      <c r="F116" s="30"/>
      <c r="G116" s="31"/>
      <c r="H116" s="32" t="s">
        <v>459</v>
      </c>
      <c r="I116" s="33"/>
      <c r="J116" s="98"/>
      <c r="K116" s="34"/>
      <c r="L116" s="137">
        <f>SUM(L114:L114)</f>
        <v>0</v>
      </c>
      <c r="M116" s="137">
        <f>SUM(M114:M114)</f>
        <v>0</v>
      </c>
      <c r="N116" s="148"/>
    </row>
    <row r="117" spans="1:14" s="105" customFormat="1" ht="18.5" x14ac:dyDescent="0.35">
      <c r="A117" s="451"/>
      <c r="B117" s="56"/>
      <c r="C117" s="20"/>
      <c r="D117" s="20"/>
      <c r="E117" s="8"/>
      <c r="F117" s="13"/>
      <c r="G117" s="13"/>
      <c r="H117" s="141"/>
      <c r="I117" s="68"/>
      <c r="J117" s="95"/>
      <c r="K117" s="69"/>
      <c r="L117" s="69"/>
      <c r="M117" s="69"/>
      <c r="N117" s="148"/>
    </row>
    <row r="118" spans="1:14" s="105" customFormat="1" ht="18.75" customHeight="1" x14ac:dyDescent="0.35">
      <c r="A118" s="451"/>
      <c r="B118" s="57">
        <v>13</v>
      </c>
      <c r="C118" s="35" t="s">
        <v>72</v>
      </c>
      <c r="D118" s="35" t="s">
        <v>167</v>
      </c>
      <c r="E118" s="40"/>
      <c r="F118" s="160" t="s">
        <v>485</v>
      </c>
      <c r="G118" s="161"/>
      <c r="H118" s="103" t="s">
        <v>692</v>
      </c>
      <c r="I118" s="68" t="s">
        <v>6</v>
      </c>
      <c r="J118" s="95">
        <v>1</v>
      </c>
      <c r="K118" s="69"/>
      <c r="L118" s="69"/>
      <c r="M118" s="69"/>
      <c r="N118" s="223" t="s">
        <v>678</v>
      </c>
    </row>
    <row r="119" spans="1:14" s="105" customFormat="1" x14ac:dyDescent="0.35">
      <c r="A119" s="451"/>
      <c r="B119" s="56"/>
      <c r="C119" s="8"/>
      <c r="D119" s="8"/>
      <c r="E119" s="8"/>
      <c r="F119" s="13"/>
      <c r="G119" s="13"/>
      <c r="H119" s="103"/>
      <c r="I119" s="68"/>
      <c r="J119" s="95"/>
      <c r="K119" s="69"/>
      <c r="L119" s="69"/>
      <c r="M119" s="69"/>
      <c r="N119" s="148"/>
    </row>
    <row r="120" spans="1:14" s="105" customFormat="1" ht="15.5" x14ac:dyDescent="0.35">
      <c r="A120" s="451"/>
      <c r="B120" s="76"/>
      <c r="C120" s="77"/>
      <c r="D120" s="77"/>
      <c r="E120" s="77"/>
      <c r="F120" s="30"/>
      <c r="G120" s="31"/>
      <c r="H120" s="32" t="s">
        <v>459</v>
      </c>
      <c r="I120" s="33"/>
      <c r="J120" s="98"/>
      <c r="K120" s="34"/>
      <c r="L120" s="137">
        <f>SUM(L118:L118)</f>
        <v>0</v>
      </c>
      <c r="M120" s="137">
        <f>SUM(M118:M118)</f>
        <v>0</v>
      </c>
      <c r="N120" s="219"/>
    </row>
    <row r="121" spans="1:14" ht="15" thickBot="1" x14ac:dyDescent="0.4">
      <c r="A121" s="451"/>
      <c r="B121" s="56"/>
      <c r="C121" s="8"/>
      <c r="D121" s="8"/>
      <c r="E121" s="8"/>
      <c r="F121" s="8"/>
      <c r="G121" s="8"/>
      <c r="H121" s="141"/>
      <c r="I121" s="141"/>
      <c r="J121" s="162"/>
      <c r="K121" s="141"/>
      <c r="L121" s="141"/>
      <c r="M121" s="141"/>
      <c r="N121" s="148"/>
    </row>
    <row r="122" spans="1:14" ht="19" thickBot="1" x14ac:dyDescent="0.4">
      <c r="A122" s="451"/>
      <c r="B122" s="453" t="s">
        <v>57</v>
      </c>
      <c r="C122" s="454"/>
      <c r="D122" s="454"/>
      <c r="E122" s="454"/>
      <c r="F122" s="454"/>
      <c r="G122" s="140"/>
      <c r="H122" s="140" t="s">
        <v>459</v>
      </c>
      <c r="I122" s="50"/>
      <c r="J122" s="94"/>
      <c r="K122" s="51"/>
      <c r="L122" s="52">
        <f>L116+L120</f>
        <v>0</v>
      </c>
      <c r="M122" s="53">
        <f>M116+M120</f>
        <v>0</v>
      </c>
      <c r="N122" s="171"/>
    </row>
    <row r="123" spans="1:14" ht="19" thickBot="1" x14ac:dyDescent="0.4">
      <c r="A123" s="452"/>
      <c r="B123" s="58"/>
      <c r="C123" s="21"/>
      <c r="D123" s="21"/>
      <c r="E123" s="14"/>
      <c r="F123" s="15"/>
      <c r="G123" s="15"/>
      <c r="H123" s="16"/>
      <c r="I123" s="17"/>
      <c r="J123" s="96"/>
      <c r="K123" s="277"/>
      <c r="L123" s="278"/>
      <c r="M123" s="276"/>
      <c r="N123" s="149"/>
    </row>
    <row r="124" spans="1:14" x14ac:dyDescent="0.35">
      <c r="A124" s="60"/>
      <c r="J124" s="99"/>
    </row>
    <row r="125" spans="1:14" x14ac:dyDescent="0.35">
      <c r="A125" s="60"/>
      <c r="J125" s="99"/>
    </row>
    <row r="126" spans="1:14" x14ac:dyDescent="0.35">
      <c r="A126" s="60"/>
      <c r="J126" s="99"/>
    </row>
    <row r="127" spans="1:14" x14ac:dyDescent="0.35">
      <c r="A127" s="60"/>
      <c r="J127" s="99"/>
    </row>
    <row r="128" spans="1:14" x14ac:dyDescent="0.35">
      <c r="A128" s="60"/>
      <c r="J128" s="99"/>
    </row>
    <row r="129" spans="1:10" x14ac:dyDescent="0.35">
      <c r="A129" s="60"/>
      <c r="J129" s="99"/>
    </row>
    <row r="130" spans="1:10" x14ac:dyDescent="0.35">
      <c r="A130" s="60"/>
      <c r="J130" s="99"/>
    </row>
    <row r="131" spans="1:10" x14ac:dyDescent="0.35">
      <c r="A131" s="60"/>
      <c r="J131" s="99"/>
    </row>
    <row r="132" spans="1:10" x14ac:dyDescent="0.35">
      <c r="A132" s="60"/>
      <c r="J132" s="99"/>
    </row>
    <row r="133" spans="1:10" x14ac:dyDescent="0.35">
      <c r="A133" s="60"/>
      <c r="J133" s="99"/>
    </row>
    <row r="134" spans="1:10" x14ac:dyDescent="0.35">
      <c r="A134" s="60"/>
      <c r="J134" s="99"/>
    </row>
    <row r="135" spans="1:10" x14ac:dyDescent="0.35">
      <c r="A135" s="60"/>
      <c r="J135" s="99"/>
    </row>
    <row r="136" spans="1:10" x14ac:dyDescent="0.35">
      <c r="A136" s="60"/>
      <c r="J136" s="99"/>
    </row>
    <row r="137" spans="1:10" x14ac:dyDescent="0.35">
      <c r="A137" s="60"/>
      <c r="J137" s="99"/>
    </row>
    <row r="138" spans="1:10" x14ac:dyDescent="0.35">
      <c r="A138" s="60"/>
      <c r="J138" s="99"/>
    </row>
    <row r="139" spans="1:10" x14ac:dyDescent="0.35">
      <c r="A139" s="60"/>
      <c r="J139" s="99"/>
    </row>
    <row r="140" spans="1:10" x14ac:dyDescent="0.35">
      <c r="A140" s="60"/>
      <c r="J140" s="99"/>
    </row>
    <row r="141" spans="1:10" x14ac:dyDescent="0.35">
      <c r="A141" s="60"/>
      <c r="J141" s="99"/>
    </row>
    <row r="142" spans="1:10" x14ac:dyDescent="0.35">
      <c r="A142" s="60"/>
      <c r="J142" s="99"/>
    </row>
    <row r="143" spans="1:10" x14ac:dyDescent="0.35">
      <c r="A143" s="60"/>
      <c r="J143" s="99"/>
    </row>
    <row r="144" spans="1:10" x14ac:dyDescent="0.35">
      <c r="A144" s="60"/>
      <c r="J144" s="99"/>
    </row>
    <row r="145" spans="1:10" x14ac:dyDescent="0.35">
      <c r="A145" s="60"/>
      <c r="J145" s="99"/>
    </row>
    <row r="146" spans="1:10" x14ac:dyDescent="0.35">
      <c r="A146" s="60"/>
      <c r="J146" s="99"/>
    </row>
    <row r="147" spans="1:10" x14ac:dyDescent="0.35">
      <c r="A147" s="60"/>
      <c r="J147" s="99"/>
    </row>
    <row r="148" spans="1:10" x14ac:dyDescent="0.35">
      <c r="A148" s="60"/>
      <c r="J148" s="99"/>
    </row>
    <row r="149" spans="1:10" x14ac:dyDescent="0.35">
      <c r="A149" s="60"/>
      <c r="J149" s="99"/>
    </row>
    <row r="150" spans="1:10" x14ac:dyDescent="0.35">
      <c r="A150" s="60"/>
      <c r="J150" s="99"/>
    </row>
    <row r="151" spans="1:10" x14ac:dyDescent="0.35">
      <c r="A151" s="60"/>
      <c r="J151" s="99"/>
    </row>
    <row r="152" spans="1:10" x14ac:dyDescent="0.35">
      <c r="A152" s="60"/>
      <c r="J152" s="99"/>
    </row>
    <row r="153" spans="1:10" x14ac:dyDescent="0.35">
      <c r="A153" s="60"/>
      <c r="J153" s="99"/>
    </row>
    <row r="154" spans="1:10" x14ac:dyDescent="0.35">
      <c r="A154" s="60"/>
      <c r="J154" s="99"/>
    </row>
    <row r="155" spans="1:10" x14ac:dyDescent="0.35">
      <c r="A155" s="60"/>
      <c r="J155" s="99"/>
    </row>
    <row r="156" spans="1:10" x14ac:dyDescent="0.35">
      <c r="A156" s="60"/>
      <c r="J156" s="99"/>
    </row>
    <row r="157" spans="1:10" x14ac:dyDescent="0.35">
      <c r="A157" s="60"/>
      <c r="J157" s="99"/>
    </row>
    <row r="158" spans="1:10" x14ac:dyDescent="0.35">
      <c r="A158" s="60"/>
      <c r="J158" s="99"/>
    </row>
    <row r="159" spans="1:10" x14ac:dyDescent="0.35">
      <c r="A159" s="60"/>
      <c r="J159" s="99"/>
    </row>
    <row r="160" spans="1:10" x14ac:dyDescent="0.35">
      <c r="J160" s="99"/>
    </row>
    <row r="161" spans="10:10" x14ac:dyDescent="0.35">
      <c r="J161" s="99"/>
    </row>
    <row r="162" spans="10:10" x14ac:dyDescent="0.35">
      <c r="J162" s="99"/>
    </row>
    <row r="163" spans="10:10" x14ac:dyDescent="0.35">
      <c r="J163" s="99"/>
    </row>
    <row r="164" spans="10:10" x14ac:dyDescent="0.35">
      <c r="J164" s="99"/>
    </row>
    <row r="165" spans="10:10" x14ac:dyDescent="0.35">
      <c r="J165" s="99"/>
    </row>
    <row r="166" spans="10:10" x14ac:dyDescent="0.35">
      <c r="J166" s="99"/>
    </row>
    <row r="167" spans="10:10" x14ac:dyDescent="0.35">
      <c r="J167" s="99"/>
    </row>
    <row r="168" spans="10:10" x14ac:dyDescent="0.35">
      <c r="J168" s="99"/>
    </row>
    <row r="169" spans="10:10" x14ac:dyDescent="0.35">
      <c r="J169" s="99"/>
    </row>
    <row r="170" spans="10:10" x14ac:dyDescent="0.35">
      <c r="J170" s="99"/>
    </row>
    <row r="171" spans="10:10" x14ac:dyDescent="0.35">
      <c r="J171" s="99"/>
    </row>
    <row r="172" spans="10:10" x14ac:dyDescent="0.35">
      <c r="J172" s="99"/>
    </row>
    <row r="173" spans="10:10" x14ac:dyDescent="0.35">
      <c r="J173" s="99"/>
    </row>
    <row r="174" spans="10:10" x14ac:dyDescent="0.35">
      <c r="J174" s="99"/>
    </row>
    <row r="175" spans="10:10" x14ac:dyDescent="0.35">
      <c r="J175" s="99"/>
    </row>
    <row r="176" spans="10:10" x14ac:dyDescent="0.35">
      <c r="J176" s="99"/>
    </row>
    <row r="177" spans="10:10" x14ac:dyDescent="0.35">
      <c r="J177" s="99"/>
    </row>
    <row r="178" spans="10:10" x14ac:dyDescent="0.35">
      <c r="J178" s="99"/>
    </row>
    <row r="179" spans="10:10" x14ac:dyDescent="0.35">
      <c r="J179" s="99"/>
    </row>
    <row r="180" spans="10:10" x14ac:dyDescent="0.35">
      <c r="J180" s="99"/>
    </row>
    <row r="181" spans="10:10" x14ac:dyDescent="0.35">
      <c r="J181" s="99"/>
    </row>
    <row r="182" spans="10:10" x14ac:dyDescent="0.35">
      <c r="J182" s="99"/>
    </row>
    <row r="183" spans="10:10" x14ac:dyDescent="0.35">
      <c r="J183" s="99"/>
    </row>
    <row r="184" spans="10:10" x14ac:dyDescent="0.35">
      <c r="J184" s="99"/>
    </row>
    <row r="185" spans="10:10" x14ac:dyDescent="0.35">
      <c r="J185" s="99"/>
    </row>
    <row r="186" spans="10:10" x14ac:dyDescent="0.35">
      <c r="J186" s="99"/>
    </row>
    <row r="187" spans="10:10" x14ac:dyDescent="0.35">
      <c r="J187" s="99"/>
    </row>
    <row r="188" spans="10:10" x14ac:dyDescent="0.35">
      <c r="J188" s="99"/>
    </row>
    <row r="189" spans="10:10" x14ac:dyDescent="0.35">
      <c r="J189" s="99"/>
    </row>
    <row r="190" spans="10:10" x14ac:dyDescent="0.35">
      <c r="J190" s="99"/>
    </row>
    <row r="191" spans="10:10" x14ac:dyDescent="0.35">
      <c r="J191" s="99"/>
    </row>
    <row r="192" spans="10:10" x14ac:dyDescent="0.35">
      <c r="J192" s="99"/>
    </row>
    <row r="193" spans="10:10" x14ac:dyDescent="0.35">
      <c r="J193" s="99"/>
    </row>
    <row r="194" spans="10:10" x14ac:dyDescent="0.35">
      <c r="J194" s="99"/>
    </row>
    <row r="195" spans="10:10" x14ac:dyDescent="0.35">
      <c r="J195" s="99"/>
    </row>
    <row r="196" spans="10:10" x14ac:dyDescent="0.35">
      <c r="J196" s="99"/>
    </row>
    <row r="197" spans="10:10" x14ac:dyDescent="0.35">
      <c r="J197" s="99"/>
    </row>
    <row r="198" spans="10:10" x14ac:dyDescent="0.35">
      <c r="J198" s="99"/>
    </row>
    <row r="199" spans="10:10" x14ac:dyDescent="0.35">
      <c r="J199" s="99"/>
    </row>
    <row r="200" spans="10:10" x14ac:dyDescent="0.35">
      <c r="J200" s="99"/>
    </row>
    <row r="201" spans="10:10" x14ac:dyDescent="0.35">
      <c r="J201" s="99"/>
    </row>
    <row r="202" spans="10:10" x14ac:dyDescent="0.35">
      <c r="J202" s="99"/>
    </row>
    <row r="203" spans="10:10" x14ac:dyDescent="0.35">
      <c r="J203" s="99"/>
    </row>
    <row r="204" spans="10:10" x14ac:dyDescent="0.35">
      <c r="J204" s="99"/>
    </row>
    <row r="205" spans="10:10" x14ac:dyDescent="0.35">
      <c r="J205" s="99"/>
    </row>
    <row r="206" spans="10:10" x14ac:dyDescent="0.35">
      <c r="J206" s="99"/>
    </row>
    <row r="207" spans="10:10" x14ac:dyDescent="0.35">
      <c r="J207" s="99"/>
    </row>
    <row r="208" spans="10:10" x14ac:dyDescent="0.35">
      <c r="J208" s="99"/>
    </row>
    <row r="209" spans="10:10" x14ac:dyDescent="0.35">
      <c r="J209" s="99"/>
    </row>
    <row r="210" spans="10:10" x14ac:dyDescent="0.35">
      <c r="J210" s="99"/>
    </row>
    <row r="211" spans="10:10" x14ac:dyDescent="0.35">
      <c r="J211" s="99"/>
    </row>
    <row r="212" spans="10:10" x14ac:dyDescent="0.35">
      <c r="J212" s="99"/>
    </row>
    <row r="213" spans="10:10" x14ac:dyDescent="0.35">
      <c r="J213" s="99"/>
    </row>
    <row r="214" spans="10:10" x14ac:dyDescent="0.35">
      <c r="J214" s="99"/>
    </row>
    <row r="215" spans="10:10" x14ac:dyDescent="0.35">
      <c r="J215" s="99"/>
    </row>
    <row r="216" spans="10:10" x14ac:dyDescent="0.35">
      <c r="J216" s="99"/>
    </row>
    <row r="217" spans="10:10" x14ac:dyDescent="0.35">
      <c r="J217" s="99"/>
    </row>
    <row r="218" spans="10:10" x14ac:dyDescent="0.35">
      <c r="J218" s="99"/>
    </row>
    <row r="219" spans="10:10" x14ac:dyDescent="0.35">
      <c r="J219" s="99"/>
    </row>
    <row r="220" spans="10:10" x14ac:dyDescent="0.35">
      <c r="J220" s="99"/>
    </row>
    <row r="221" spans="10:10" x14ac:dyDescent="0.35">
      <c r="J221" s="99"/>
    </row>
    <row r="222" spans="10:10" x14ac:dyDescent="0.35">
      <c r="J222" s="99"/>
    </row>
    <row r="223" spans="10:10" x14ac:dyDescent="0.35">
      <c r="J223" s="99"/>
    </row>
    <row r="224" spans="10:10" x14ac:dyDescent="0.35">
      <c r="J224" s="99"/>
    </row>
    <row r="225" spans="10:10" x14ac:dyDescent="0.35">
      <c r="J225" s="99"/>
    </row>
    <row r="226" spans="10:10" x14ac:dyDescent="0.35">
      <c r="J226" s="99"/>
    </row>
    <row r="227" spans="10:10" x14ac:dyDescent="0.35">
      <c r="J227" s="99"/>
    </row>
    <row r="228" spans="10:10" x14ac:dyDescent="0.35">
      <c r="J228" s="99"/>
    </row>
    <row r="229" spans="10:10" x14ac:dyDescent="0.35">
      <c r="J229" s="99"/>
    </row>
    <row r="230" spans="10:10" x14ac:dyDescent="0.35">
      <c r="J230" s="99"/>
    </row>
    <row r="231" spans="10:10" x14ac:dyDescent="0.35">
      <c r="J231" s="99"/>
    </row>
    <row r="232" spans="10:10" x14ac:dyDescent="0.35">
      <c r="J232" s="99"/>
    </row>
    <row r="233" spans="10:10" x14ac:dyDescent="0.35">
      <c r="J233" s="99"/>
    </row>
    <row r="234" spans="10:10" x14ac:dyDescent="0.35">
      <c r="J234" s="99"/>
    </row>
    <row r="235" spans="10:10" x14ac:dyDescent="0.35">
      <c r="J235" s="99"/>
    </row>
    <row r="236" spans="10:10" x14ac:dyDescent="0.35">
      <c r="J236" s="99"/>
    </row>
    <row r="237" spans="10:10" x14ac:dyDescent="0.35">
      <c r="J237" s="99"/>
    </row>
    <row r="238" spans="10:10" x14ac:dyDescent="0.35">
      <c r="J238" s="99"/>
    </row>
    <row r="239" spans="10:10" x14ac:dyDescent="0.35">
      <c r="J239" s="99"/>
    </row>
    <row r="240" spans="10:10" x14ac:dyDescent="0.35">
      <c r="J240" s="99"/>
    </row>
    <row r="241" spans="10:10" x14ac:dyDescent="0.35">
      <c r="J241" s="99"/>
    </row>
    <row r="242" spans="10:10" x14ac:dyDescent="0.35">
      <c r="J242" s="99"/>
    </row>
    <row r="243" spans="10:10" x14ac:dyDescent="0.35">
      <c r="J243" s="99"/>
    </row>
    <row r="244" spans="10:10" x14ac:dyDescent="0.35">
      <c r="J244" s="99"/>
    </row>
    <row r="245" spans="10:10" x14ac:dyDescent="0.35">
      <c r="J245" s="99"/>
    </row>
    <row r="246" spans="10:10" x14ac:dyDescent="0.35">
      <c r="J246" s="99"/>
    </row>
    <row r="247" spans="10:10" x14ac:dyDescent="0.35">
      <c r="J247" s="99"/>
    </row>
    <row r="248" spans="10:10" x14ac:dyDescent="0.35">
      <c r="J248" s="99"/>
    </row>
    <row r="249" spans="10:10" x14ac:dyDescent="0.35">
      <c r="J249" s="99"/>
    </row>
    <row r="250" spans="10:10" x14ac:dyDescent="0.35">
      <c r="J250" s="99"/>
    </row>
    <row r="251" spans="10:10" x14ac:dyDescent="0.35">
      <c r="J251" s="99"/>
    </row>
    <row r="252" spans="10:10" x14ac:dyDescent="0.35">
      <c r="J252" s="99"/>
    </row>
    <row r="253" spans="10:10" x14ac:dyDescent="0.35">
      <c r="J253" s="99"/>
    </row>
    <row r="254" spans="10:10" x14ac:dyDescent="0.35">
      <c r="J254" s="99"/>
    </row>
    <row r="255" spans="10:10" x14ac:dyDescent="0.35">
      <c r="J255" s="99"/>
    </row>
    <row r="256" spans="10:10" x14ac:dyDescent="0.35">
      <c r="J256" s="99"/>
    </row>
    <row r="257" spans="10:10" x14ac:dyDescent="0.35">
      <c r="J257" s="99"/>
    </row>
    <row r="258" spans="10:10" x14ac:dyDescent="0.35">
      <c r="J258" s="99"/>
    </row>
    <row r="259" spans="10:10" x14ac:dyDescent="0.35">
      <c r="J259" s="99"/>
    </row>
    <row r="260" spans="10:10" x14ac:dyDescent="0.35">
      <c r="J260" s="99"/>
    </row>
    <row r="261" spans="10:10" x14ac:dyDescent="0.35">
      <c r="J261" s="99"/>
    </row>
    <row r="262" spans="10:10" x14ac:dyDescent="0.35">
      <c r="J262" s="99"/>
    </row>
    <row r="263" spans="10:10" x14ac:dyDescent="0.35">
      <c r="J263" s="99"/>
    </row>
    <row r="264" spans="10:10" x14ac:dyDescent="0.35">
      <c r="J264" s="99"/>
    </row>
    <row r="265" spans="10:10" x14ac:dyDescent="0.35">
      <c r="J265" s="99"/>
    </row>
    <row r="266" spans="10:10" x14ac:dyDescent="0.35">
      <c r="J266" s="99"/>
    </row>
    <row r="267" spans="10:10" x14ac:dyDescent="0.35">
      <c r="J267" s="99"/>
    </row>
    <row r="268" spans="10:10" x14ac:dyDescent="0.35">
      <c r="J268" s="99"/>
    </row>
    <row r="269" spans="10:10" x14ac:dyDescent="0.35">
      <c r="J269" s="99"/>
    </row>
    <row r="270" spans="10:10" x14ac:dyDescent="0.35">
      <c r="J270" s="99"/>
    </row>
    <row r="271" spans="10:10" x14ac:dyDescent="0.35">
      <c r="J271" s="99"/>
    </row>
    <row r="272" spans="10:10" x14ac:dyDescent="0.35">
      <c r="J272" s="99"/>
    </row>
    <row r="273" spans="10:10" x14ac:dyDescent="0.35">
      <c r="J273" s="99"/>
    </row>
    <row r="274" spans="10:10" x14ac:dyDescent="0.35">
      <c r="J274" s="99"/>
    </row>
    <row r="275" spans="10:10" x14ac:dyDescent="0.35">
      <c r="J275" s="99"/>
    </row>
    <row r="276" spans="10:10" x14ac:dyDescent="0.35">
      <c r="J276" s="99"/>
    </row>
    <row r="277" spans="10:10" x14ac:dyDescent="0.35">
      <c r="J277" s="99"/>
    </row>
    <row r="278" spans="10:10" x14ac:dyDescent="0.35">
      <c r="J278" s="99"/>
    </row>
    <row r="279" spans="10:10" x14ac:dyDescent="0.35">
      <c r="J279" s="99"/>
    </row>
    <row r="280" spans="10:10" x14ac:dyDescent="0.35">
      <c r="J280" s="99"/>
    </row>
    <row r="281" spans="10:10" x14ac:dyDescent="0.35">
      <c r="J281" s="99"/>
    </row>
    <row r="282" spans="10:10" x14ac:dyDescent="0.35">
      <c r="J282" s="99"/>
    </row>
    <row r="283" spans="10:10" x14ac:dyDescent="0.35">
      <c r="J283" s="99"/>
    </row>
    <row r="284" spans="10:10" x14ac:dyDescent="0.35">
      <c r="J284" s="99"/>
    </row>
    <row r="285" spans="10:10" x14ac:dyDescent="0.35">
      <c r="J285" s="99"/>
    </row>
    <row r="286" spans="10:10" x14ac:dyDescent="0.35">
      <c r="J286" s="99"/>
    </row>
    <row r="287" spans="10:10" x14ac:dyDescent="0.35">
      <c r="J287" s="99"/>
    </row>
    <row r="288" spans="10:10" x14ac:dyDescent="0.35">
      <c r="J288" s="99"/>
    </row>
    <row r="289" spans="10:10" x14ac:dyDescent="0.35">
      <c r="J289" s="99"/>
    </row>
    <row r="290" spans="10:10" x14ac:dyDescent="0.35">
      <c r="J290" s="99"/>
    </row>
    <row r="291" spans="10:10" x14ac:dyDescent="0.35">
      <c r="J291" s="99"/>
    </row>
    <row r="292" spans="10:10" x14ac:dyDescent="0.35">
      <c r="J292" s="99"/>
    </row>
    <row r="293" spans="10:10" x14ac:dyDescent="0.35">
      <c r="J293" s="99"/>
    </row>
    <row r="294" spans="10:10" x14ac:dyDescent="0.35">
      <c r="J294" s="99"/>
    </row>
    <row r="295" spans="10:10" x14ac:dyDescent="0.35">
      <c r="J295" s="99"/>
    </row>
    <row r="296" spans="10:10" x14ac:dyDescent="0.35">
      <c r="J296" s="99"/>
    </row>
    <row r="297" spans="10:10" x14ac:dyDescent="0.35">
      <c r="J297" s="99"/>
    </row>
    <row r="298" spans="10:10" x14ac:dyDescent="0.35">
      <c r="J298" s="99"/>
    </row>
    <row r="299" spans="10:10" x14ac:dyDescent="0.35">
      <c r="J299" s="99"/>
    </row>
    <row r="300" spans="10:10" x14ac:dyDescent="0.35">
      <c r="J300" s="99"/>
    </row>
    <row r="301" spans="10:10" x14ac:dyDescent="0.35">
      <c r="J301" s="99"/>
    </row>
    <row r="302" spans="10:10" x14ac:dyDescent="0.35">
      <c r="J302" s="99"/>
    </row>
  </sheetData>
  <sheetProtection sheet="1" objects="1" scenarios="1"/>
  <mergeCells count="22">
    <mergeCell ref="A9:G9"/>
    <mergeCell ref="A2:N2"/>
    <mergeCell ref="A5:G5"/>
    <mergeCell ref="A6:G6"/>
    <mergeCell ref="A7:G7"/>
    <mergeCell ref="A8:G8"/>
    <mergeCell ref="A10:G10"/>
    <mergeCell ref="F14:G14"/>
    <mergeCell ref="B26:F26"/>
    <mergeCell ref="A28:A66"/>
    <mergeCell ref="B65:F65"/>
    <mergeCell ref="A16:A27"/>
    <mergeCell ref="C14:D14"/>
    <mergeCell ref="A11:K11"/>
    <mergeCell ref="A113:A123"/>
    <mergeCell ref="B122:F122"/>
    <mergeCell ref="A78:A85"/>
    <mergeCell ref="B84:F84"/>
    <mergeCell ref="A67:A77"/>
    <mergeCell ref="B76:F76"/>
    <mergeCell ref="A86:A112"/>
    <mergeCell ref="B111:F111"/>
  </mergeCells>
  <pageMargins left="0.23622047244094491" right="0.23622047244094491" top="0.11811023622047245" bottom="0.27559055118110237" header="0.11811023622047245" footer="0.11811023622047245"/>
  <pageSetup paperSize="9" scale="43" firstPageNumber="7" fitToHeight="0" orientation="landscape" useFirstPageNumber="1" horizontalDpi="1200" verticalDpi="1200" r:id="rId1"/>
  <headerFooter>
    <oddFooter>&amp;C&amp;P/43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N308"/>
  <sheetViews>
    <sheetView view="pageLayout" zoomScale="40" zoomScaleNormal="100" zoomScalePageLayoutView="40" workbookViewId="0">
      <selection activeCell="K17" sqref="K17"/>
    </sheetView>
  </sheetViews>
  <sheetFormatPr defaultColWidth="9.1796875" defaultRowHeight="14.5" x14ac:dyDescent="0.35"/>
  <cols>
    <col min="1" max="1" width="5" style="43" customWidth="1"/>
    <col min="2" max="2" width="5.7265625" style="54" customWidth="1"/>
    <col min="3" max="3" width="5.81640625" style="6" customWidth="1"/>
    <col min="4" max="4" width="7" style="6" customWidth="1"/>
    <col min="5" max="5" width="3.7265625" style="6" customWidth="1"/>
    <col min="6" max="6" width="50.7265625" style="6" customWidth="1"/>
    <col min="7" max="7" width="20.26953125" style="6" customWidth="1"/>
    <col min="8" max="8" width="55.7265625" style="43" customWidth="1"/>
    <col min="9" max="11" width="13.7265625" style="43" customWidth="1"/>
    <col min="12" max="13" width="25.7265625" style="43" customWidth="1"/>
    <col min="14" max="14" width="85.7265625" style="43" customWidth="1"/>
    <col min="15" max="15" width="13.7265625" style="43" customWidth="1"/>
    <col min="16" max="16384" width="9.1796875" style="43"/>
  </cols>
  <sheetData>
    <row r="2" spans="1:14" s="151" customFormat="1" ht="35.15" customHeight="1" x14ac:dyDescent="0.35">
      <c r="A2" s="467" t="s">
        <v>745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</row>
    <row r="3" spans="1:14" s="151" customFormat="1" ht="10" customHeight="1" thickBot="1" x14ac:dyDescent="0.4">
      <c r="A3" s="264"/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156"/>
      <c r="M3" s="156"/>
      <c r="N3" s="156"/>
    </row>
    <row r="4" spans="1:14" ht="26.5" thickBot="1" x14ac:dyDescent="0.4">
      <c r="A4" s="245"/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153" t="s">
        <v>7</v>
      </c>
      <c r="M4" s="153" t="s">
        <v>8</v>
      </c>
      <c r="N4" s="152"/>
    </row>
    <row r="5" spans="1:14" ht="18.5" x14ac:dyDescent="0.35">
      <c r="A5" s="457" t="s">
        <v>55</v>
      </c>
      <c r="B5" s="458"/>
      <c r="C5" s="458"/>
      <c r="D5" s="458"/>
      <c r="E5" s="458"/>
      <c r="F5" s="458"/>
      <c r="G5" s="458"/>
      <c r="H5" s="244"/>
      <c r="I5" s="244"/>
      <c r="J5" s="244"/>
      <c r="K5" s="244"/>
      <c r="L5" s="154">
        <f>L21</f>
        <v>0</v>
      </c>
      <c r="M5" s="154">
        <f>M21</f>
        <v>0</v>
      </c>
      <c r="N5" s="152"/>
    </row>
    <row r="6" spans="1:14" ht="18.5" x14ac:dyDescent="0.35">
      <c r="A6" s="457" t="s">
        <v>37</v>
      </c>
      <c r="B6" s="458"/>
      <c r="C6" s="458"/>
      <c r="D6" s="458"/>
      <c r="E6" s="458"/>
      <c r="F6" s="458"/>
      <c r="G6" s="458"/>
      <c r="H6" s="244"/>
      <c r="I6" s="244"/>
      <c r="J6" s="244"/>
      <c r="K6" s="244"/>
      <c r="L6" s="154">
        <f>L53</f>
        <v>0</v>
      </c>
      <c r="M6" s="154">
        <f>M53</f>
        <v>0</v>
      </c>
      <c r="N6" s="152"/>
    </row>
    <row r="7" spans="1:14" ht="18.5" x14ac:dyDescent="0.35">
      <c r="A7" s="457" t="s">
        <v>43</v>
      </c>
      <c r="B7" s="458"/>
      <c r="C7" s="458"/>
      <c r="D7" s="458"/>
      <c r="E7" s="458"/>
      <c r="F7" s="458"/>
      <c r="G7" s="458"/>
      <c r="H7" s="244"/>
      <c r="I7" s="244"/>
      <c r="J7" s="244"/>
      <c r="K7" s="244"/>
      <c r="L7" s="154">
        <f>L60</f>
        <v>0</v>
      </c>
      <c r="M7" s="154">
        <f>M60</f>
        <v>0</v>
      </c>
      <c r="N7" s="152"/>
    </row>
    <row r="8" spans="1:14" ht="18.5" x14ac:dyDescent="0.35">
      <c r="A8" s="457" t="s">
        <v>45</v>
      </c>
      <c r="B8" s="458"/>
      <c r="C8" s="458"/>
      <c r="D8" s="458"/>
      <c r="E8" s="458"/>
      <c r="F8" s="458"/>
      <c r="G8" s="458"/>
      <c r="H8" s="244"/>
      <c r="I8" s="244"/>
      <c r="J8" s="244"/>
      <c r="K8" s="244"/>
      <c r="L8" s="154">
        <f>L68</f>
        <v>0</v>
      </c>
      <c r="M8" s="154">
        <f>M68</f>
        <v>0</v>
      </c>
      <c r="N8" s="152"/>
    </row>
    <row r="9" spans="1:14" ht="18.5" x14ac:dyDescent="0.35">
      <c r="A9" s="457" t="s">
        <v>56</v>
      </c>
      <c r="B9" s="458"/>
      <c r="C9" s="458"/>
      <c r="D9" s="458"/>
      <c r="E9" s="458"/>
      <c r="F9" s="458"/>
      <c r="G9" s="458"/>
      <c r="H9" s="244"/>
      <c r="I9" s="244"/>
      <c r="J9" s="244"/>
      <c r="K9" s="244"/>
      <c r="L9" s="154">
        <f>L83</f>
        <v>0</v>
      </c>
      <c r="M9" s="154">
        <f>M83</f>
        <v>0</v>
      </c>
      <c r="N9" s="152"/>
    </row>
    <row r="10" spans="1:14" ht="19" thickBot="1" x14ac:dyDescent="0.4">
      <c r="A10" s="457" t="s">
        <v>57</v>
      </c>
      <c r="B10" s="458"/>
      <c r="C10" s="458"/>
      <c r="D10" s="458"/>
      <c r="E10" s="458"/>
      <c r="F10" s="458"/>
      <c r="G10" s="458"/>
      <c r="H10" s="244"/>
      <c r="I10" s="244"/>
      <c r="J10" s="244"/>
      <c r="K10" s="244"/>
      <c r="L10" s="154">
        <f>L90</f>
        <v>0</v>
      </c>
      <c r="M10" s="154">
        <f>M90</f>
        <v>0</v>
      </c>
      <c r="N10" s="152"/>
    </row>
    <row r="11" spans="1:14" ht="26.5" thickBot="1" x14ac:dyDescent="0.4">
      <c r="A11" s="465" t="s">
        <v>460</v>
      </c>
      <c r="B11" s="458"/>
      <c r="C11" s="458"/>
      <c r="D11" s="458"/>
      <c r="E11" s="458"/>
      <c r="F11" s="458"/>
      <c r="G11" s="458"/>
      <c r="H11" s="458"/>
      <c r="I11" s="458"/>
      <c r="J11" s="458"/>
      <c r="K11" s="466"/>
      <c r="L11" s="155">
        <f>SUM(L5:L10)</f>
        <v>0</v>
      </c>
      <c r="M11" s="155">
        <f>SUM(M5:M10)</f>
        <v>0</v>
      </c>
      <c r="N11" s="152"/>
    </row>
    <row r="12" spans="1:14" ht="26" x14ac:dyDescent="0.35">
      <c r="A12" s="246"/>
      <c r="B12" s="247"/>
      <c r="C12" s="248"/>
      <c r="D12" s="248"/>
      <c r="E12" s="248"/>
      <c r="F12" s="248"/>
      <c r="G12" s="248"/>
      <c r="H12" s="248"/>
      <c r="I12" s="248"/>
      <c r="J12" s="248"/>
      <c r="K12" s="248"/>
    </row>
    <row r="13" spans="1:14" ht="19" thickBot="1" x14ac:dyDescent="0.4">
      <c r="A13" s="248"/>
      <c r="B13" s="269"/>
      <c r="C13" s="270"/>
      <c r="D13" s="270"/>
      <c r="E13" s="271"/>
      <c r="F13" s="271"/>
      <c r="G13" s="271"/>
      <c r="H13" s="248"/>
      <c r="I13" s="248"/>
      <c r="J13" s="248"/>
      <c r="K13" s="248"/>
    </row>
    <row r="14" spans="1:14" s="1" customFormat="1" ht="30.75" customHeight="1" thickBot="1" x14ac:dyDescent="0.4">
      <c r="A14" s="27" t="s">
        <v>25</v>
      </c>
      <c r="B14" s="27" t="s">
        <v>26</v>
      </c>
      <c r="C14" s="464" t="s">
        <v>27</v>
      </c>
      <c r="D14" s="460"/>
      <c r="E14" s="5"/>
      <c r="F14" s="459" t="s">
        <v>11</v>
      </c>
      <c r="G14" s="460"/>
      <c r="H14" s="4" t="s">
        <v>48</v>
      </c>
      <c r="I14" s="4" t="s">
        <v>0</v>
      </c>
      <c r="J14" s="4" t="s">
        <v>1</v>
      </c>
      <c r="K14" s="4" t="s">
        <v>2</v>
      </c>
      <c r="L14" s="4" t="s">
        <v>7</v>
      </c>
      <c r="M14" s="4" t="s">
        <v>8</v>
      </c>
      <c r="N14" s="4" t="s">
        <v>3</v>
      </c>
    </row>
    <row r="15" spans="1:14" s="204" customFormat="1" ht="15" customHeight="1" thickBot="1" x14ac:dyDescent="0.4">
      <c r="A15" s="142"/>
      <c r="B15" s="143"/>
      <c r="C15" s="144"/>
      <c r="D15" s="144"/>
      <c r="E15" s="42"/>
      <c r="F15" s="145"/>
      <c r="G15" s="145"/>
      <c r="H15" s="145"/>
      <c r="I15" s="145"/>
      <c r="J15" s="145"/>
      <c r="K15" s="145"/>
      <c r="L15" s="145"/>
      <c r="M15" s="145"/>
      <c r="N15" s="145"/>
    </row>
    <row r="16" spans="1:14" ht="18.5" x14ac:dyDescent="0.35">
      <c r="A16" s="476" t="s">
        <v>41</v>
      </c>
      <c r="B16" s="55"/>
      <c r="C16" s="45"/>
      <c r="D16" s="45"/>
      <c r="E16" s="46"/>
      <c r="F16" s="47"/>
      <c r="G16" s="47"/>
      <c r="H16" s="44"/>
      <c r="I16" s="48"/>
      <c r="J16" s="92"/>
      <c r="K16" s="49"/>
      <c r="L16" s="49"/>
      <c r="M16" s="49"/>
      <c r="N16" s="146"/>
    </row>
    <row r="17" spans="1:14" ht="21" customHeight="1" x14ac:dyDescent="0.35">
      <c r="A17" s="462"/>
      <c r="B17" s="57">
        <v>36</v>
      </c>
      <c r="C17" s="35" t="s">
        <v>9</v>
      </c>
      <c r="D17" s="35" t="s">
        <v>192</v>
      </c>
      <c r="E17" s="36"/>
      <c r="F17" s="37" t="s">
        <v>190</v>
      </c>
      <c r="G17" s="10"/>
      <c r="H17" s="103" t="s">
        <v>191</v>
      </c>
      <c r="I17" s="68" t="s">
        <v>6</v>
      </c>
      <c r="J17" s="95">
        <v>1</v>
      </c>
      <c r="K17" s="312">
        <v>0</v>
      </c>
      <c r="L17" s="141"/>
      <c r="M17" s="69">
        <f>K17*J17</f>
        <v>0</v>
      </c>
      <c r="N17" s="148" t="s">
        <v>359</v>
      </c>
    </row>
    <row r="18" spans="1:14" ht="18.5" x14ac:dyDescent="0.35">
      <c r="A18" s="462"/>
      <c r="B18" s="59"/>
      <c r="C18" s="41"/>
      <c r="D18" s="41"/>
      <c r="E18" s="61"/>
      <c r="F18" s="62"/>
      <c r="G18" s="13"/>
      <c r="H18" s="103"/>
      <c r="I18" s="68"/>
      <c r="J18" s="95"/>
      <c r="K18" s="69"/>
      <c r="L18" s="69"/>
      <c r="M18" s="69"/>
      <c r="N18" s="148"/>
    </row>
    <row r="19" spans="1:14" ht="18.5" x14ac:dyDescent="0.35">
      <c r="A19" s="462"/>
      <c r="B19" s="57">
        <v>37</v>
      </c>
      <c r="C19" s="35" t="s">
        <v>9</v>
      </c>
      <c r="D19" s="35" t="s">
        <v>193</v>
      </c>
      <c r="E19" s="40"/>
      <c r="F19" s="39" t="s">
        <v>144</v>
      </c>
      <c r="G19" s="13"/>
      <c r="H19" s="103" t="s">
        <v>531</v>
      </c>
      <c r="I19" s="68" t="s">
        <v>4</v>
      </c>
      <c r="J19" s="95">
        <f>3*1.3*2.4</f>
        <v>9.3600000000000012</v>
      </c>
      <c r="K19" s="312">
        <v>0</v>
      </c>
      <c r="L19" s="69">
        <f>K19*J19</f>
        <v>0</v>
      </c>
      <c r="M19" s="312">
        <v>0</v>
      </c>
      <c r="N19" s="148"/>
    </row>
    <row r="20" spans="1:14" ht="15" customHeight="1" thickBot="1" x14ac:dyDescent="0.4">
      <c r="A20" s="462"/>
      <c r="B20" s="56"/>
      <c r="C20" s="20"/>
      <c r="D20" s="20"/>
      <c r="E20" s="8"/>
      <c r="F20" s="26"/>
      <c r="G20" s="13"/>
      <c r="H20" s="103"/>
      <c r="I20" s="68"/>
      <c r="J20" s="95"/>
      <c r="K20" s="69"/>
      <c r="L20" s="69"/>
      <c r="M20" s="69"/>
      <c r="N20" s="148"/>
    </row>
    <row r="21" spans="1:14" ht="19" thickBot="1" x14ac:dyDescent="0.4">
      <c r="A21" s="462"/>
      <c r="B21" s="453" t="s">
        <v>13</v>
      </c>
      <c r="C21" s="454"/>
      <c r="D21" s="454"/>
      <c r="E21" s="454"/>
      <c r="F21" s="454"/>
      <c r="G21" s="140"/>
      <c r="H21" s="140" t="s">
        <v>459</v>
      </c>
      <c r="I21" s="50"/>
      <c r="J21" s="94"/>
      <c r="K21" s="51"/>
      <c r="L21" s="52">
        <f>SUM(L17:L19)</f>
        <v>0</v>
      </c>
      <c r="M21" s="53">
        <f>SUM(M17:M19)</f>
        <v>0</v>
      </c>
      <c r="N21" s="148"/>
    </row>
    <row r="22" spans="1:14" ht="19" thickBot="1" x14ac:dyDescent="0.4">
      <c r="A22" s="463"/>
      <c r="B22" s="58"/>
      <c r="C22" s="21"/>
      <c r="D22" s="21"/>
      <c r="E22" s="14"/>
      <c r="F22" s="15"/>
      <c r="G22" s="15"/>
      <c r="H22" s="16"/>
      <c r="I22" s="17"/>
      <c r="J22" s="96"/>
      <c r="K22" s="277"/>
      <c r="L22" s="278"/>
      <c r="M22" s="276"/>
      <c r="N22" s="148"/>
    </row>
    <row r="23" spans="1:14" x14ac:dyDescent="0.35">
      <c r="A23" s="168"/>
      <c r="B23" s="56"/>
      <c r="C23" s="8"/>
      <c r="D23" s="8"/>
      <c r="E23" s="8"/>
      <c r="F23" s="8"/>
      <c r="G23" s="8"/>
      <c r="H23" s="141"/>
      <c r="I23" s="141"/>
      <c r="J23" s="162"/>
      <c r="K23" s="141"/>
      <c r="L23" s="141"/>
      <c r="M23" s="141"/>
      <c r="N23" s="146"/>
    </row>
    <row r="24" spans="1:14" ht="18.5" x14ac:dyDescent="0.35">
      <c r="A24" s="168"/>
      <c r="B24" s="57">
        <v>38</v>
      </c>
      <c r="C24" s="35" t="s">
        <v>14</v>
      </c>
      <c r="D24" s="35" t="s">
        <v>192</v>
      </c>
      <c r="E24" s="40"/>
      <c r="F24" s="160" t="s">
        <v>32</v>
      </c>
      <c r="G24" s="161" t="s">
        <v>17</v>
      </c>
      <c r="H24" s="103" t="s">
        <v>475</v>
      </c>
      <c r="I24" s="68" t="s">
        <v>5</v>
      </c>
      <c r="J24" s="95">
        <f>1.78*2+0.83*2</f>
        <v>5.22</v>
      </c>
      <c r="K24" s="312">
        <v>0</v>
      </c>
      <c r="L24" s="69">
        <f>K24*J24</f>
        <v>0</v>
      </c>
      <c r="M24" s="312">
        <v>0</v>
      </c>
      <c r="N24" s="148"/>
    </row>
    <row r="25" spans="1:14" ht="18.5" x14ac:dyDescent="0.35">
      <c r="A25" s="168"/>
      <c r="B25" s="56"/>
      <c r="C25" s="20"/>
      <c r="D25" s="20"/>
      <c r="E25" s="8"/>
      <c r="F25" s="13"/>
      <c r="G25" s="161"/>
      <c r="H25" s="103" t="s">
        <v>476</v>
      </c>
      <c r="I25" s="68" t="s">
        <v>5</v>
      </c>
      <c r="J25" s="95">
        <f>3*0.75</f>
        <v>2.25</v>
      </c>
      <c r="K25" s="312">
        <v>0</v>
      </c>
      <c r="L25" s="69">
        <f>K25*J25</f>
        <v>0</v>
      </c>
      <c r="M25" s="312">
        <v>0</v>
      </c>
      <c r="N25" s="148"/>
    </row>
    <row r="26" spans="1:14" x14ac:dyDescent="0.35">
      <c r="A26" s="168"/>
      <c r="B26" s="56"/>
      <c r="C26" s="8"/>
      <c r="D26" s="8"/>
      <c r="E26" s="8"/>
      <c r="F26" s="13"/>
      <c r="G26" s="161"/>
      <c r="H26" s="103" t="s">
        <v>705</v>
      </c>
      <c r="I26" s="68" t="s">
        <v>5</v>
      </c>
      <c r="J26" s="95">
        <f>3*0.75*0.03</f>
        <v>6.7500000000000004E-2</v>
      </c>
      <c r="K26" s="312">
        <v>0</v>
      </c>
      <c r="L26" s="69">
        <f>K26*J26</f>
        <v>0</v>
      </c>
      <c r="M26" s="312">
        <v>0</v>
      </c>
      <c r="N26" s="148"/>
    </row>
    <row r="27" spans="1:14" x14ac:dyDescent="0.35">
      <c r="A27" s="168"/>
      <c r="B27" s="56"/>
      <c r="C27" s="8"/>
      <c r="D27" s="8"/>
      <c r="E27" s="8"/>
      <c r="F27" s="13"/>
      <c r="G27" s="161"/>
      <c r="H27" s="103"/>
      <c r="I27" s="68"/>
      <c r="J27" s="95"/>
      <c r="K27" s="69"/>
      <c r="L27" s="69"/>
      <c r="M27" s="69"/>
      <c r="N27" s="148"/>
    </row>
    <row r="28" spans="1:14" x14ac:dyDescent="0.35">
      <c r="A28" s="168"/>
      <c r="B28" s="56"/>
      <c r="C28" s="8"/>
      <c r="D28" s="8"/>
      <c r="E28" s="8"/>
      <c r="F28" s="13"/>
      <c r="G28" s="161" t="s">
        <v>18</v>
      </c>
      <c r="H28" s="103" t="s">
        <v>498</v>
      </c>
      <c r="I28" s="68" t="s">
        <v>4</v>
      </c>
      <c r="J28" s="95">
        <f>J24*2*0.04*3+0.5</f>
        <v>1.7527999999999999</v>
      </c>
      <c r="K28" s="312">
        <v>0</v>
      </c>
      <c r="L28" s="69">
        <f>K28*J28</f>
        <v>0</v>
      </c>
      <c r="M28" s="312">
        <v>0</v>
      </c>
      <c r="N28" s="148" t="s">
        <v>519</v>
      </c>
    </row>
    <row r="29" spans="1:14" x14ac:dyDescent="0.35">
      <c r="A29" s="168"/>
      <c r="B29" s="56"/>
      <c r="C29" s="8"/>
      <c r="D29" s="8"/>
      <c r="E29" s="8"/>
      <c r="F29" s="13"/>
      <c r="G29" s="161"/>
      <c r="H29" s="103"/>
      <c r="I29" s="68"/>
      <c r="J29" s="95"/>
      <c r="K29" s="69"/>
      <c r="L29" s="69"/>
      <c r="M29" s="69"/>
      <c r="N29" s="148"/>
    </row>
    <row r="30" spans="1:14" x14ac:dyDescent="0.35">
      <c r="A30" s="168"/>
      <c r="B30" s="56"/>
      <c r="C30" s="8"/>
      <c r="D30" s="8"/>
      <c r="E30" s="8"/>
      <c r="F30" s="13"/>
      <c r="G30" s="161" t="s">
        <v>19</v>
      </c>
      <c r="H30" s="103" t="s">
        <v>770</v>
      </c>
      <c r="I30" s="68" t="s">
        <v>4</v>
      </c>
      <c r="J30" s="95">
        <f>0.79*0.79</f>
        <v>0.6241000000000001</v>
      </c>
      <c r="K30" s="312">
        <v>0</v>
      </c>
      <c r="L30" s="69">
        <f>K30*J30</f>
        <v>0</v>
      </c>
      <c r="M30" s="312">
        <v>0</v>
      </c>
      <c r="N30" s="148"/>
    </row>
    <row r="31" spans="1:14" x14ac:dyDescent="0.35">
      <c r="A31" s="168"/>
      <c r="B31" s="56"/>
      <c r="C31" s="8"/>
      <c r="D31" s="8"/>
      <c r="E31" s="8"/>
      <c r="F31" s="13"/>
      <c r="G31" s="13"/>
      <c r="H31" s="103"/>
      <c r="I31" s="68"/>
      <c r="J31" s="95"/>
      <c r="K31" s="69"/>
      <c r="L31" s="69"/>
      <c r="M31" s="69"/>
      <c r="N31" s="148"/>
    </row>
    <row r="32" spans="1:14" ht="15.5" x14ac:dyDescent="0.35">
      <c r="A32" s="168"/>
      <c r="B32" s="76"/>
      <c r="C32" s="77"/>
      <c r="D32" s="77"/>
      <c r="E32" s="77"/>
      <c r="F32" s="30"/>
      <c r="G32" s="31"/>
      <c r="H32" s="32" t="s">
        <v>459</v>
      </c>
      <c r="I32" s="33"/>
      <c r="J32" s="98"/>
      <c r="K32" s="34"/>
      <c r="L32" s="137">
        <f>SUM(L24:L30)</f>
        <v>0</v>
      </c>
      <c r="M32" s="137">
        <f>SUM(M24:M30)</f>
        <v>0</v>
      </c>
      <c r="N32" s="148"/>
    </row>
    <row r="33" spans="1:14" x14ac:dyDescent="0.35">
      <c r="A33" s="168"/>
      <c r="B33" s="56"/>
      <c r="C33" s="8"/>
      <c r="D33" s="8"/>
      <c r="E33" s="8"/>
      <c r="F33" s="8"/>
      <c r="G33" s="8"/>
      <c r="H33" s="141"/>
      <c r="I33" s="141"/>
      <c r="J33" s="162"/>
      <c r="K33" s="141"/>
      <c r="L33" s="141"/>
      <c r="M33" s="141"/>
      <c r="N33" s="148"/>
    </row>
    <row r="34" spans="1:14" ht="15" customHeight="1" x14ac:dyDescent="0.35">
      <c r="A34" s="475" t="s">
        <v>40</v>
      </c>
      <c r="B34" s="57">
        <v>39</v>
      </c>
      <c r="C34" s="35" t="s">
        <v>14</v>
      </c>
      <c r="D34" s="35" t="s">
        <v>193</v>
      </c>
      <c r="E34" s="40"/>
      <c r="F34" s="160" t="s">
        <v>194</v>
      </c>
      <c r="G34" s="161" t="s">
        <v>16</v>
      </c>
      <c r="H34" s="103" t="s">
        <v>486</v>
      </c>
      <c r="I34" s="68" t="s">
        <v>4</v>
      </c>
      <c r="J34" s="95">
        <f>0.1*3.14*0.9</f>
        <v>0.28260000000000007</v>
      </c>
      <c r="K34" s="312">
        <v>0</v>
      </c>
      <c r="L34" s="69">
        <f>K34*J34</f>
        <v>0</v>
      </c>
      <c r="M34" s="312">
        <v>0</v>
      </c>
      <c r="N34" s="148"/>
    </row>
    <row r="35" spans="1:14" ht="15" customHeight="1" x14ac:dyDescent="0.35">
      <c r="A35" s="475"/>
      <c r="B35" s="249"/>
      <c r="C35" s="259"/>
      <c r="D35" s="259"/>
      <c r="E35" s="251"/>
      <c r="F35" s="241"/>
      <c r="G35" s="161"/>
      <c r="H35" s="103" t="s">
        <v>487</v>
      </c>
      <c r="I35" s="68" t="s">
        <v>4</v>
      </c>
      <c r="J35" s="95">
        <f>3.14*0.5*0.5+3.14*0.45*0.45*2+4*0.1*0.85+0.5*0.7*2</f>
        <v>3.0967000000000002</v>
      </c>
      <c r="K35" s="312">
        <v>0</v>
      </c>
      <c r="L35" s="69">
        <f>K35*J35</f>
        <v>0</v>
      </c>
      <c r="M35" s="312">
        <v>0</v>
      </c>
      <c r="N35" s="148"/>
    </row>
    <row r="36" spans="1:14" ht="15" customHeight="1" x14ac:dyDescent="0.35">
      <c r="A36" s="475"/>
      <c r="B36" s="249"/>
      <c r="C36" s="259"/>
      <c r="D36" s="259"/>
      <c r="E36" s="251"/>
      <c r="F36" s="241"/>
      <c r="G36" s="161"/>
      <c r="H36" s="103" t="s">
        <v>492</v>
      </c>
      <c r="I36" s="68" t="s">
        <v>4</v>
      </c>
      <c r="J36" s="95">
        <f>0.85*3.14*0.9</f>
        <v>2.4020999999999999</v>
      </c>
      <c r="K36" s="312">
        <v>0</v>
      </c>
      <c r="L36" s="69">
        <f>K36*J36</f>
        <v>0</v>
      </c>
      <c r="M36" s="312">
        <v>0</v>
      </c>
      <c r="N36" s="148"/>
    </row>
    <row r="37" spans="1:14" ht="15" customHeight="1" x14ac:dyDescent="0.35">
      <c r="A37" s="470"/>
      <c r="B37" s="249"/>
      <c r="C37" s="251"/>
      <c r="D37" s="251"/>
      <c r="E37" s="251"/>
      <c r="F37" s="217"/>
      <c r="G37" s="161"/>
      <c r="H37" s="103"/>
      <c r="I37" s="68"/>
      <c r="J37" s="95"/>
      <c r="K37" s="69"/>
      <c r="L37" s="69"/>
      <c r="M37" s="69"/>
      <c r="N37" s="148"/>
    </row>
    <row r="38" spans="1:14" ht="15" customHeight="1" x14ac:dyDescent="0.35">
      <c r="A38" s="470"/>
      <c r="B38" s="56"/>
      <c r="C38" s="8"/>
      <c r="D38" s="8"/>
      <c r="E38" s="8"/>
      <c r="F38" s="13"/>
      <c r="G38" s="161" t="s">
        <v>18</v>
      </c>
      <c r="H38" s="103" t="s">
        <v>195</v>
      </c>
      <c r="I38" s="68" t="s">
        <v>4</v>
      </c>
      <c r="J38" s="95">
        <f>J36+J34+3.14*0.5*0.5</f>
        <v>3.4697</v>
      </c>
      <c r="K38" s="312">
        <v>0</v>
      </c>
      <c r="L38" s="69">
        <f>K38*J38</f>
        <v>0</v>
      </c>
      <c r="M38" s="312">
        <v>0</v>
      </c>
      <c r="N38" s="148" t="s">
        <v>519</v>
      </c>
    </row>
    <row r="39" spans="1:14" ht="15" customHeight="1" x14ac:dyDescent="0.35">
      <c r="A39" s="470"/>
      <c r="B39" s="56"/>
      <c r="C39" s="8"/>
      <c r="D39" s="8"/>
      <c r="E39" s="8"/>
      <c r="F39" s="13"/>
      <c r="G39" s="161"/>
      <c r="H39" s="103" t="s">
        <v>196</v>
      </c>
      <c r="I39" s="68" t="s">
        <v>4</v>
      </c>
      <c r="J39" s="95">
        <f>3.14*0.45*0.45</f>
        <v>0.63585000000000003</v>
      </c>
      <c r="K39" s="312">
        <v>0</v>
      </c>
      <c r="L39" s="69">
        <f>K39*J39</f>
        <v>0</v>
      </c>
      <c r="M39" s="312">
        <v>0</v>
      </c>
      <c r="N39" s="148" t="s">
        <v>519</v>
      </c>
    </row>
    <row r="40" spans="1:14" ht="15" customHeight="1" x14ac:dyDescent="0.35">
      <c r="A40" s="470"/>
      <c r="B40" s="56"/>
      <c r="C40" s="8"/>
      <c r="D40" s="8"/>
      <c r="E40" s="8"/>
      <c r="F40" s="13"/>
      <c r="G40" s="13"/>
      <c r="H40" s="103"/>
      <c r="I40" s="68"/>
      <c r="J40" s="95"/>
      <c r="K40" s="69"/>
      <c r="L40" s="69"/>
      <c r="M40" s="69"/>
      <c r="N40" s="148"/>
    </row>
    <row r="41" spans="1:14" ht="15.5" x14ac:dyDescent="0.35">
      <c r="A41" s="470"/>
      <c r="B41" s="76"/>
      <c r="C41" s="77"/>
      <c r="D41" s="77"/>
      <c r="E41" s="77"/>
      <c r="F41" s="30"/>
      <c r="G41" s="31"/>
      <c r="H41" s="32" t="s">
        <v>459</v>
      </c>
      <c r="I41" s="33"/>
      <c r="J41" s="98"/>
      <c r="K41" s="34"/>
      <c r="L41" s="137">
        <f>SUM(L34:L39)</f>
        <v>0</v>
      </c>
      <c r="M41" s="137">
        <f>SUM(M34:M39)</f>
        <v>0</v>
      </c>
      <c r="N41" s="148"/>
    </row>
    <row r="42" spans="1:14" ht="18.75" customHeight="1" x14ac:dyDescent="0.35">
      <c r="A42" s="470"/>
      <c r="B42" s="56"/>
      <c r="C42" s="20"/>
      <c r="D42" s="20"/>
      <c r="E42" s="8"/>
      <c r="F42" s="13"/>
      <c r="G42" s="13"/>
      <c r="H42" s="141"/>
      <c r="I42" s="68"/>
      <c r="J42" s="95"/>
      <c r="K42" s="69"/>
      <c r="L42" s="69"/>
      <c r="M42" s="69"/>
      <c r="N42" s="148"/>
    </row>
    <row r="43" spans="1:14" ht="15" customHeight="1" x14ac:dyDescent="0.35">
      <c r="A43" s="470"/>
      <c r="B43" s="57">
        <v>40</v>
      </c>
      <c r="C43" s="35" t="s">
        <v>14</v>
      </c>
      <c r="D43" s="35" t="s">
        <v>197</v>
      </c>
      <c r="E43" s="40"/>
      <c r="F43" s="160" t="s">
        <v>198</v>
      </c>
      <c r="G43" s="161" t="s">
        <v>16</v>
      </c>
      <c r="H43" s="224" t="s">
        <v>775</v>
      </c>
      <c r="I43" s="68" t="s">
        <v>4</v>
      </c>
      <c r="J43" s="95">
        <v>30</v>
      </c>
      <c r="K43" s="312">
        <v>0</v>
      </c>
      <c r="L43" s="69">
        <f>K43*J43</f>
        <v>0</v>
      </c>
      <c r="M43" s="312">
        <v>0</v>
      </c>
      <c r="N43" s="148"/>
    </row>
    <row r="44" spans="1:14" x14ac:dyDescent="0.35">
      <c r="A44" s="470"/>
      <c r="B44" s="56"/>
      <c r="C44" s="8"/>
      <c r="D44" s="8"/>
      <c r="E44" s="8"/>
      <c r="F44" s="13"/>
      <c r="G44" s="13"/>
      <c r="H44" s="103"/>
      <c r="I44" s="68"/>
      <c r="J44" s="95"/>
      <c r="K44" s="69"/>
      <c r="L44" s="69"/>
      <c r="M44" s="69"/>
      <c r="N44" s="148"/>
    </row>
    <row r="45" spans="1:14" ht="15.5" x14ac:dyDescent="0.35">
      <c r="A45" s="470"/>
      <c r="B45" s="76"/>
      <c r="C45" s="77"/>
      <c r="D45" s="77"/>
      <c r="E45" s="77"/>
      <c r="F45" s="30"/>
      <c r="G45" s="31"/>
      <c r="H45" s="32" t="s">
        <v>459</v>
      </c>
      <c r="I45" s="33"/>
      <c r="J45" s="98"/>
      <c r="K45" s="34"/>
      <c r="L45" s="137">
        <f>SUM(L43:L43)</f>
        <v>0</v>
      </c>
      <c r="M45" s="137">
        <f>SUM(M43:M43)</f>
        <v>0</v>
      </c>
      <c r="N45" s="148"/>
    </row>
    <row r="46" spans="1:14" s="135" customFormat="1" x14ac:dyDescent="0.35">
      <c r="A46" s="470"/>
      <c r="B46" s="56"/>
      <c r="C46" s="8"/>
      <c r="D46" s="8"/>
      <c r="E46" s="8"/>
      <c r="F46" s="8"/>
      <c r="G46" s="8"/>
      <c r="H46" s="141"/>
      <c r="I46" s="141"/>
      <c r="J46" s="162"/>
      <c r="K46" s="141"/>
      <c r="L46" s="141"/>
      <c r="M46" s="141"/>
      <c r="N46" s="148"/>
    </row>
    <row r="47" spans="1:14" s="135" customFormat="1" ht="15" customHeight="1" x14ac:dyDescent="0.35">
      <c r="A47" s="470"/>
      <c r="B47" s="57">
        <v>41</v>
      </c>
      <c r="C47" s="35" t="s">
        <v>14</v>
      </c>
      <c r="D47" s="35" t="s">
        <v>404</v>
      </c>
      <c r="E47" s="40"/>
      <c r="F47" s="160" t="s">
        <v>405</v>
      </c>
      <c r="G47" s="161" t="s">
        <v>16</v>
      </c>
      <c r="H47" s="103" t="s">
        <v>493</v>
      </c>
      <c r="I47" s="68" t="s">
        <v>4</v>
      </c>
      <c r="J47" s="95">
        <f>0.6*(2.5+3.49)</f>
        <v>3.5939999999999999</v>
      </c>
      <c r="K47" s="312">
        <v>0</v>
      </c>
      <c r="L47" s="69">
        <f>K47*J47</f>
        <v>0</v>
      </c>
      <c r="M47" s="312">
        <v>0</v>
      </c>
      <c r="N47" s="148"/>
    </row>
    <row r="48" spans="1:14" s="135" customFormat="1" ht="15" customHeight="1" x14ac:dyDescent="0.35">
      <c r="A48" s="470"/>
      <c r="B48" s="56"/>
      <c r="C48" s="8"/>
      <c r="D48" s="8"/>
      <c r="E48" s="8"/>
      <c r="F48" s="13"/>
      <c r="G48" s="161"/>
      <c r="H48" s="103"/>
      <c r="I48" s="68"/>
      <c r="J48" s="95"/>
      <c r="K48" s="69"/>
      <c r="L48" s="69"/>
      <c r="M48" s="69"/>
      <c r="N48" s="148"/>
    </row>
    <row r="49" spans="1:14" s="135" customFormat="1" ht="15" customHeight="1" x14ac:dyDescent="0.35">
      <c r="A49" s="470"/>
      <c r="B49" s="56"/>
      <c r="C49" s="8"/>
      <c r="D49" s="8"/>
      <c r="E49" s="8"/>
      <c r="F49" s="13"/>
      <c r="G49" s="161" t="s">
        <v>18</v>
      </c>
      <c r="H49" s="103" t="s">
        <v>195</v>
      </c>
      <c r="I49" s="68" t="s">
        <v>4</v>
      </c>
      <c r="J49" s="95">
        <f>0.6*(2.5+3.49)</f>
        <v>3.5939999999999999</v>
      </c>
      <c r="K49" s="312">
        <v>0</v>
      </c>
      <c r="L49" s="69">
        <f>K49*J49</f>
        <v>0</v>
      </c>
      <c r="M49" s="312">
        <v>0</v>
      </c>
      <c r="N49" s="148" t="s">
        <v>519</v>
      </c>
    </row>
    <row r="50" spans="1:14" s="135" customFormat="1" ht="15" customHeight="1" x14ac:dyDescent="0.35">
      <c r="A50" s="470"/>
      <c r="B50" s="56"/>
      <c r="C50" s="8"/>
      <c r="D50" s="8"/>
      <c r="E50" s="8"/>
      <c r="F50" s="13"/>
      <c r="G50" s="13"/>
      <c r="H50" s="103"/>
      <c r="I50" s="68"/>
      <c r="J50" s="95"/>
      <c r="K50" s="69"/>
      <c r="L50" s="69"/>
      <c r="M50" s="69"/>
      <c r="N50" s="148"/>
    </row>
    <row r="51" spans="1:14" s="135" customFormat="1" ht="15.5" x14ac:dyDescent="0.35">
      <c r="A51" s="470"/>
      <c r="B51" s="76"/>
      <c r="C51" s="77"/>
      <c r="D51" s="77"/>
      <c r="E51" s="77"/>
      <c r="F51" s="30"/>
      <c r="G51" s="31"/>
      <c r="H51" s="32" t="s">
        <v>459</v>
      </c>
      <c r="I51" s="33"/>
      <c r="J51" s="98"/>
      <c r="K51" s="34"/>
      <c r="L51" s="137">
        <f>SUM(L47:L49)</f>
        <v>0</v>
      </c>
      <c r="M51" s="137">
        <f>SUM(M47:M49)</f>
        <v>0</v>
      </c>
      <c r="N51" s="148"/>
    </row>
    <row r="52" spans="1:14" ht="15" thickBot="1" x14ac:dyDescent="0.4">
      <c r="A52" s="470"/>
      <c r="B52" s="56"/>
      <c r="C52" s="8"/>
      <c r="D52" s="8"/>
      <c r="E52" s="8"/>
      <c r="F52" s="8"/>
      <c r="G52" s="8"/>
      <c r="H52" s="141"/>
      <c r="I52" s="141"/>
      <c r="J52" s="162"/>
      <c r="K52" s="141"/>
      <c r="L52" s="141"/>
      <c r="M52" s="141"/>
      <c r="N52" s="148"/>
    </row>
    <row r="53" spans="1:14" ht="19" thickBot="1" x14ac:dyDescent="0.4">
      <c r="A53" s="470"/>
      <c r="B53" s="453" t="s">
        <v>37</v>
      </c>
      <c r="C53" s="454"/>
      <c r="D53" s="454"/>
      <c r="E53" s="454"/>
      <c r="F53" s="454"/>
      <c r="G53" s="140"/>
      <c r="H53" s="140" t="s">
        <v>459</v>
      </c>
      <c r="I53" s="50"/>
      <c r="J53" s="94"/>
      <c r="K53" s="51"/>
      <c r="L53" s="52">
        <f>L45+L41+L32+L51</f>
        <v>0</v>
      </c>
      <c r="M53" s="53">
        <f>M45+M41+M32+M51</f>
        <v>0</v>
      </c>
      <c r="N53" s="148"/>
    </row>
    <row r="54" spans="1:14" ht="19" thickBot="1" x14ac:dyDescent="0.4">
      <c r="A54" s="471"/>
      <c r="B54" s="58"/>
      <c r="C54" s="21"/>
      <c r="D54" s="21"/>
      <c r="E54" s="14"/>
      <c r="F54" s="15"/>
      <c r="G54" s="15"/>
      <c r="H54" s="16"/>
      <c r="I54" s="17"/>
      <c r="J54" s="96"/>
      <c r="K54" s="277"/>
      <c r="L54" s="278"/>
      <c r="M54" s="276"/>
      <c r="N54" s="219"/>
    </row>
    <row r="55" spans="1:14" ht="18.5" x14ac:dyDescent="0.35">
      <c r="A55" s="469" t="s">
        <v>39</v>
      </c>
      <c r="B55" s="56"/>
      <c r="C55" s="20"/>
      <c r="D55" s="20"/>
      <c r="E55" s="8"/>
      <c r="F55" s="13"/>
      <c r="G55" s="13"/>
      <c r="H55" s="141"/>
      <c r="I55" s="68"/>
      <c r="J55" s="95"/>
      <c r="K55" s="69"/>
      <c r="L55" s="69"/>
      <c r="M55" s="69"/>
      <c r="N55" s="146"/>
    </row>
    <row r="56" spans="1:14" ht="18.5" x14ac:dyDescent="0.35">
      <c r="A56" s="470"/>
      <c r="B56" s="57">
        <v>42</v>
      </c>
      <c r="C56" s="35" t="s">
        <v>38</v>
      </c>
      <c r="D56" s="35" t="s">
        <v>192</v>
      </c>
      <c r="E56" s="40"/>
      <c r="F56" s="160" t="s">
        <v>32</v>
      </c>
      <c r="G56" s="161"/>
      <c r="H56" s="103" t="s">
        <v>42</v>
      </c>
      <c r="I56" s="68" t="s">
        <v>4</v>
      </c>
      <c r="J56" s="95">
        <f>0.75*0.75</f>
        <v>0.5625</v>
      </c>
      <c r="K56" s="312">
        <v>0</v>
      </c>
      <c r="L56" s="69">
        <f>K56*J56</f>
        <v>0</v>
      </c>
      <c r="M56" s="312">
        <v>0</v>
      </c>
      <c r="N56" s="148"/>
    </row>
    <row r="57" spans="1:14" x14ac:dyDescent="0.35">
      <c r="A57" s="470"/>
      <c r="B57" s="56"/>
      <c r="C57" s="8"/>
      <c r="D57" s="8"/>
      <c r="E57" s="8"/>
      <c r="F57" s="13"/>
      <c r="G57" s="13"/>
      <c r="H57" s="103"/>
      <c r="I57" s="68"/>
      <c r="J57" s="95"/>
      <c r="K57" s="69"/>
      <c r="L57" s="69"/>
      <c r="M57" s="69"/>
      <c r="N57" s="148"/>
    </row>
    <row r="58" spans="1:14" ht="15.5" x14ac:dyDescent="0.35">
      <c r="A58" s="470"/>
      <c r="B58" s="76"/>
      <c r="C58" s="77"/>
      <c r="D58" s="77"/>
      <c r="E58" s="77"/>
      <c r="F58" s="30"/>
      <c r="G58" s="31"/>
      <c r="H58" s="32" t="s">
        <v>459</v>
      </c>
      <c r="I58" s="33"/>
      <c r="J58" s="98"/>
      <c r="K58" s="34"/>
      <c r="L58" s="137">
        <f>SUM(L56:L56)</f>
        <v>0</v>
      </c>
      <c r="M58" s="137">
        <f>SUM(M56:M56)</f>
        <v>0</v>
      </c>
      <c r="N58" s="148"/>
    </row>
    <row r="59" spans="1:14" ht="15" thickBot="1" x14ac:dyDescent="0.4">
      <c r="A59" s="470"/>
      <c r="B59" s="56"/>
      <c r="C59" s="8"/>
      <c r="D59" s="8"/>
      <c r="E59" s="8"/>
      <c r="F59" s="8"/>
      <c r="G59" s="8"/>
      <c r="H59" s="141"/>
      <c r="I59" s="141"/>
      <c r="J59" s="162"/>
      <c r="K59" s="141"/>
      <c r="L59" s="141"/>
      <c r="M59" s="141"/>
      <c r="N59" s="148"/>
    </row>
    <row r="60" spans="1:14" ht="19" thickBot="1" x14ac:dyDescent="0.4">
      <c r="A60" s="470"/>
      <c r="B60" s="453" t="s">
        <v>43</v>
      </c>
      <c r="C60" s="454"/>
      <c r="D60" s="454"/>
      <c r="E60" s="454"/>
      <c r="F60" s="454"/>
      <c r="G60" s="140"/>
      <c r="H60" s="140" t="s">
        <v>459</v>
      </c>
      <c r="I60" s="50"/>
      <c r="J60" s="94"/>
      <c r="K60" s="51"/>
      <c r="L60" s="52">
        <f>L58</f>
        <v>0</v>
      </c>
      <c r="M60" s="53">
        <f>M58</f>
        <v>0</v>
      </c>
      <c r="N60" s="148"/>
    </row>
    <row r="61" spans="1:14" ht="19" thickBot="1" x14ac:dyDescent="0.4">
      <c r="A61" s="471"/>
      <c r="B61" s="58"/>
      <c r="C61" s="21"/>
      <c r="D61" s="21"/>
      <c r="E61" s="14"/>
      <c r="F61" s="15"/>
      <c r="G61" s="15"/>
      <c r="H61" s="16"/>
      <c r="I61" s="17"/>
      <c r="J61" s="96"/>
      <c r="K61" s="277"/>
      <c r="L61" s="278"/>
      <c r="M61" s="276"/>
      <c r="N61" s="148"/>
    </row>
    <row r="62" spans="1:14" ht="18.5" x14ac:dyDescent="0.35">
      <c r="A62" s="469" t="s">
        <v>46</v>
      </c>
      <c r="B62" s="56"/>
      <c r="C62" s="20"/>
      <c r="D62" s="20"/>
      <c r="E62" s="8"/>
      <c r="F62" s="13"/>
      <c r="G62" s="13"/>
      <c r="H62" s="141"/>
      <c r="I62" s="68"/>
      <c r="J62" s="95"/>
      <c r="K62" s="69"/>
      <c r="L62" s="69"/>
      <c r="M62" s="69"/>
      <c r="N62" s="146"/>
    </row>
    <row r="63" spans="1:14" ht="18.5" x14ac:dyDescent="0.35">
      <c r="A63" s="470"/>
      <c r="B63" s="57">
        <v>43</v>
      </c>
      <c r="C63" s="35" t="s">
        <v>47</v>
      </c>
      <c r="D63" s="35" t="s">
        <v>679</v>
      </c>
      <c r="E63" s="40"/>
      <c r="F63" s="160" t="s">
        <v>179</v>
      </c>
      <c r="G63" s="161"/>
      <c r="H63" s="103"/>
      <c r="I63" s="68"/>
      <c r="J63" s="95"/>
      <c r="K63" s="69"/>
      <c r="L63" s="69"/>
      <c r="M63" s="69"/>
      <c r="N63" s="148"/>
    </row>
    <row r="64" spans="1:14" x14ac:dyDescent="0.35">
      <c r="A64" s="470"/>
      <c r="B64" s="56"/>
      <c r="C64" s="8"/>
      <c r="D64" s="8"/>
      <c r="E64" s="8"/>
      <c r="F64" s="13"/>
      <c r="G64" s="13"/>
      <c r="H64" s="103"/>
      <c r="I64" s="68"/>
      <c r="J64" s="95"/>
      <c r="K64" s="69"/>
      <c r="L64" s="69"/>
      <c r="M64" s="69"/>
      <c r="N64" s="148"/>
    </row>
    <row r="65" spans="1:14" ht="15.5" x14ac:dyDescent="0.35">
      <c r="A65" s="470"/>
      <c r="B65" s="76"/>
      <c r="C65" s="77"/>
      <c r="D65" s="77"/>
      <c r="E65" s="77"/>
      <c r="F65" s="30"/>
      <c r="G65" s="31"/>
      <c r="H65" s="32" t="s">
        <v>459</v>
      </c>
      <c r="I65" s="33"/>
      <c r="J65" s="98"/>
      <c r="K65" s="34"/>
      <c r="L65" s="137">
        <f>SUM(L63:L63)</f>
        <v>0</v>
      </c>
      <c r="M65" s="137">
        <f>SUM(M63:M63)</f>
        <v>0</v>
      </c>
      <c r="N65" s="148"/>
    </row>
    <row r="66" spans="1:14" x14ac:dyDescent="0.35">
      <c r="A66" s="470"/>
      <c r="B66" s="56"/>
      <c r="C66" s="8"/>
      <c r="D66" s="8"/>
      <c r="E66" s="8"/>
      <c r="F66" s="8"/>
      <c r="G66" s="8"/>
      <c r="H66" s="141"/>
      <c r="I66" s="141"/>
      <c r="J66" s="162"/>
      <c r="K66" s="141"/>
      <c r="L66" s="141"/>
      <c r="M66" s="141"/>
      <c r="N66" s="148"/>
    </row>
    <row r="67" spans="1:14" ht="15" thickBot="1" x14ac:dyDescent="0.4">
      <c r="A67" s="470"/>
      <c r="B67" s="56"/>
      <c r="C67" s="8"/>
      <c r="D67" s="8"/>
      <c r="E67" s="8"/>
      <c r="F67" s="8"/>
      <c r="G67" s="8"/>
      <c r="H67" s="141"/>
      <c r="I67" s="141"/>
      <c r="J67" s="162"/>
      <c r="K67" s="141"/>
      <c r="L67" s="141"/>
      <c r="M67" s="141"/>
      <c r="N67" s="148"/>
    </row>
    <row r="68" spans="1:14" ht="19" thickBot="1" x14ac:dyDescent="0.4">
      <c r="A68" s="470"/>
      <c r="B68" s="453" t="s">
        <v>45</v>
      </c>
      <c r="C68" s="454"/>
      <c r="D68" s="454"/>
      <c r="E68" s="454"/>
      <c r="F68" s="454"/>
      <c r="G68" s="140"/>
      <c r="H68" s="140" t="s">
        <v>459</v>
      </c>
      <c r="I68" s="50"/>
      <c r="J68" s="94"/>
      <c r="K68" s="51"/>
      <c r="L68" s="52">
        <f>L65</f>
        <v>0</v>
      </c>
      <c r="M68" s="53">
        <f>M65</f>
        <v>0</v>
      </c>
      <c r="N68" s="148"/>
    </row>
    <row r="69" spans="1:14" ht="19" thickBot="1" x14ac:dyDescent="0.4">
      <c r="A69" s="471"/>
      <c r="B69" s="58"/>
      <c r="C69" s="21"/>
      <c r="D69" s="21"/>
      <c r="E69" s="14"/>
      <c r="F69" s="15"/>
      <c r="G69" s="15"/>
      <c r="H69" s="16"/>
      <c r="I69" s="17"/>
      <c r="J69" s="96"/>
      <c r="K69" s="277"/>
      <c r="L69" s="278"/>
      <c r="M69" s="276"/>
      <c r="N69" s="219"/>
    </row>
    <row r="70" spans="1:14" s="75" customFormat="1" ht="18.5" x14ac:dyDescent="0.35">
      <c r="A70" s="472" t="s">
        <v>59</v>
      </c>
      <c r="B70" s="249"/>
      <c r="C70" s="250"/>
      <c r="D70" s="250"/>
      <c r="E70" s="251"/>
      <c r="F70" s="217"/>
      <c r="G70" s="217"/>
      <c r="H70" s="229"/>
      <c r="I70" s="211"/>
      <c r="J70" s="212"/>
      <c r="K70" s="220"/>
      <c r="L70" s="220"/>
      <c r="M70" s="220"/>
      <c r="N70" s="252"/>
    </row>
    <row r="71" spans="1:14" s="75" customFormat="1" ht="90" customHeight="1" x14ac:dyDescent="0.35">
      <c r="A71" s="473"/>
      <c r="B71" s="57">
        <v>44</v>
      </c>
      <c r="C71" s="35" t="s">
        <v>60</v>
      </c>
      <c r="D71" s="35" t="s">
        <v>192</v>
      </c>
      <c r="E71" s="40"/>
      <c r="F71" s="160" t="s">
        <v>286</v>
      </c>
      <c r="G71" s="216" t="s">
        <v>73</v>
      </c>
      <c r="H71" s="239" t="s">
        <v>287</v>
      </c>
      <c r="I71" s="211" t="s">
        <v>6</v>
      </c>
      <c r="J71" s="212">
        <v>1</v>
      </c>
      <c r="K71" s="312">
        <v>0</v>
      </c>
      <c r="L71" s="220">
        <f>K71*J71</f>
        <v>0</v>
      </c>
      <c r="M71" s="312">
        <v>0</v>
      </c>
      <c r="N71" s="219" t="s">
        <v>716</v>
      </c>
    </row>
    <row r="72" spans="1:14" s="75" customFormat="1" ht="18.5" x14ac:dyDescent="0.35">
      <c r="A72" s="473"/>
      <c r="B72" s="249"/>
      <c r="C72" s="250"/>
      <c r="D72" s="250"/>
      <c r="E72" s="251"/>
      <c r="F72" s="217"/>
      <c r="G72" s="216"/>
      <c r="H72" s="239" t="s">
        <v>64</v>
      </c>
      <c r="I72" s="211" t="s">
        <v>6</v>
      </c>
      <c r="J72" s="212">
        <v>1</v>
      </c>
      <c r="K72" s="312">
        <v>0</v>
      </c>
      <c r="L72" s="220">
        <f>K72*J72</f>
        <v>0</v>
      </c>
      <c r="M72" s="312">
        <v>0</v>
      </c>
      <c r="N72" s="219"/>
    </row>
    <row r="73" spans="1:14" s="75" customFormat="1" ht="18.5" x14ac:dyDescent="0.35">
      <c r="A73" s="473"/>
      <c r="B73" s="249"/>
      <c r="C73" s="250"/>
      <c r="D73" s="250"/>
      <c r="E73" s="251"/>
      <c r="F73" s="217"/>
      <c r="G73" s="216"/>
      <c r="H73" s="239" t="s">
        <v>65</v>
      </c>
      <c r="I73" s="211" t="s">
        <v>6</v>
      </c>
      <c r="J73" s="212">
        <v>1</v>
      </c>
      <c r="K73" s="312">
        <v>0</v>
      </c>
      <c r="L73" s="220">
        <f>K73*J73</f>
        <v>0</v>
      </c>
      <c r="M73" s="312">
        <v>0</v>
      </c>
      <c r="N73" s="219" t="s">
        <v>565</v>
      </c>
    </row>
    <row r="74" spans="1:14" s="75" customFormat="1" x14ac:dyDescent="0.35">
      <c r="A74" s="473"/>
      <c r="B74" s="249"/>
      <c r="C74" s="251"/>
      <c r="D74" s="251"/>
      <c r="E74" s="251"/>
      <c r="F74" s="217"/>
      <c r="G74" s="217"/>
      <c r="H74" s="239"/>
      <c r="I74" s="211"/>
      <c r="J74" s="212"/>
      <c r="K74" s="220"/>
      <c r="L74" s="220"/>
      <c r="M74" s="220"/>
      <c r="N74" s="219"/>
    </row>
    <row r="75" spans="1:14" s="75" customFormat="1" x14ac:dyDescent="0.35">
      <c r="A75" s="473"/>
      <c r="B75" s="249"/>
      <c r="C75" s="251"/>
      <c r="D75" s="251"/>
      <c r="E75" s="251"/>
      <c r="F75" s="217"/>
      <c r="G75" s="217" t="s">
        <v>74</v>
      </c>
      <c r="H75" s="239" t="s">
        <v>288</v>
      </c>
      <c r="I75" s="211" t="s">
        <v>279</v>
      </c>
      <c r="J75" s="212">
        <v>1</v>
      </c>
      <c r="K75" s="312">
        <v>0</v>
      </c>
      <c r="L75" s="229"/>
      <c r="M75" s="220">
        <f>K75*J75</f>
        <v>0</v>
      </c>
      <c r="N75" s="219"/>
    </row>
    <row r="76" spans="1:14" s="75" customFormat="1" x14ac:dyDescent="0.35">
      <c r="A76" s="473"/>
      <c r="B76" s="249"/>
      <c r="C76" s="251"/>
      <c r="D76" s="251"/>
      <c r="E76" s="251"/>
      <c r="F76" s="217"/>
      <c r="G76" s="217"/>
      <c r="H76" s="239"/>
      <c r="I76" s="211"/>
      <c r="J76" s="212"/>
      <c r="K76" s="220"/>
      <c r="L76" s="220"/>
      <c r="M76" s="220"/>
      <c r="N76" s="219"/>
    </row>
    <row r="77" spans="1:14" s="75" customFormat="1" ht="15.5" x14ac:dyDescent="0.35">
      <c r="A77" s="473"/>
      <c r="B77" s="260"/>
      <c r="C77" s="261"/>
      <c r="D77" s="261"/>
      <c r="E77" s="261"/>
      <c r="F77" s="262"/>
      <c r="G77" s="255"/>
      <c r="H77" s="234" t="s">
        <v>459</v>
      </c>
      <c r="I77" s="256"/>
      <c r="J77" s="257"/>
      <c r="K77" s="258"/>
      <c r="L77" s="137">
        <f>SUM(L71:L75)</f>
        <v>0</v>
      </c>
      <c r="M77" s="137">
        <f>SUM(M71:M75)</f>
        <v>0</v>
      </c>
      <c r="N77" s="219"/>
    </row>
    <row r="78" spans="1:14" s="135" customFormat="1" x14ac:dyDescent="0.35">
      <c r="A78" s="473"/>
      <c r="B78" s="249"/>
      <c r="C78" s="251"/>
      <c r="D78" s="251"/>
      <c r="E78" s="251"/>
      <c r="F78" s="263"/>
      <c r="G78" s="263"/>
      <c r="H78" s="240"/>
      <c r="I78" s="211"/>
      <c r="J78" s="212"/>
      <c r="K78" s="220"/>
      <c r="L78" s="240"/>
      <c r="M78" s="240"/>
      <c r="N78" s="253"/>
    </row>
    <row r="79" spans="1:14" s="135" customFormat="1" ht="18.5" x14ac:dyDescent="0.35">
      <c r="A79" s="473"/>
      <c r="B79" s="57">
        <v>45</v>
      </c>
      <c r="C79" s="35" t="s">
        <v>60</v>
      </c>
      <c r="D79" s="35" t="s">
        <v>193</v>
      </c>
      <c r="E79" s="40"/>
      <c r="F79" s="160" t="s">
        <v>428</v>
      </c>
      <c r="G79" s="216" t="s">
        <v>73</v>
      </c>
      <c r="H79" s="239" t="s">
        <v>429</v>
      </c>
      <c r="I79" s="211" t="s">
        <v>6</v>
      </c>
      <c r="J79" s="212">
        <v>1</v>
      </c>
      <c r="K79" s="312">
        <v>0</v>
      </c>
      <c r="L79" s="220">
        <f>K79*J79</f>
        <v>0</v>
      </c>
      <c r="M79" s="312">
        <v>0</v>
      </c>
      <c r="N79" s="253"/>
    </row>
    <row r="80" spans="1:14" s="135" customFormat="1" x14ac:dyDescent="0.35">
      <c r="A80" s="473"/>
      <c r="B80" s="249"/>
      <c r="C80" s="251"/>
      <c r="D80" s="251"/>
      <c r="E80" s="251"/>
      <c r="F80" s="217"/>
      <c r="G80" s="217"/>
      <c r="H80" s="239"/>
      <c r="I80" s="211"/>
      <c r="J80" s="212"/>
      <c r="K80" s="220"/>
      <c r="L80" s="220"/>
      <c r="M80" s="220"/>
      <c r="N80" s="219"/>
    </row>
    <row r="81" spans="1:14" s="135" customFormat="1" ht="15.5" x14ac:dyDescent="0.35">
      <c r="A81" s="473"/>
      <c r="B81" s="260"/>
      <c r="C81" s="261"/>
      <c r="D81" s="261"/>
      <c r="E81" s="261"/>
      <c r="F81" s="262"/>
      <c r="G81" s="255"/>
      <c r="H81" s="234" t="s">
        <v>459</v>
      </c>
      <c r="I81" s="256"/>
      <c r="J81" s="257"/>
      <c r="K81" s="258"/>
      <c r="L81" s="137">
        <f>SUM(L79)</f>
        <v>0</v>
      </c>
      <c r="M81" s="137">
        <f>SUM(M79)</f>
        <v>0</v>
      </c>
      <c r="N81" s="219"/>
    </row>
    <row r="82" spans="1:14" s="75" customFormat="1" ht="15" thickBot="1" x14ac:dyDescent="0.4">
      <c r="A82" s="473"/>
      <c r="B82" s="59"/>
      <c r="C82" s="61"/>
      <c r="D82" s="61"/>
      <c r="E82" s="61"/>
      <c r="F82" s="61"/>
      <c r="G82" s="61"/>
      <c r="H82" s="166"/>
      <c r="I82" s="166"/>
      <c r="J82" s="167"/>
      <c r="K82" s="166"/>
      <c r="L82" s="166"/>
      <c r="M82" s="166"/>
      <c r="N82" s="219"/>
    </row>
    <row r="83" spans="1:14" s="75" customFormat="1" ht="19" thickBot="1" x14ac:dyDescent="0.4">
      <c r="A83" s="473"/>
      <c r="B83" s="453" t="s">
        <v>56</v>
      </c>
      <c r="C83" s="454"/>
      <c r="D83" s="454"/>
      <c r="E83" s="454"/>
      <c r="F83" s="454"/>
      <c r="G83" s="140"/>
      <c r="H83" s="140" t="s">
        <v>459</v>
      </c>
      <c r="I83" s="50"/>
      <c r="J83" s="94"/>
      <c r="K83" s="51"/>
      <c r="L83" s="52">
        <f>L77+L81</f>
        <v>0</v>
      </c>
      <c r="M83" s="53">
        <f>M77+M81</f>
        <v>0</v>
      </c>
      <c r="N83" s="219"/>
    </row>
    <row r="84" spans="1:14" s="75" customFormat="1" ht="19" thickBot="1" x14ac:dyDescent="0.4">
      <c r="A84" s="474"/>
      <c r="B84" s="293"/>
      <c r="C84" s="294"/>
      <c r="D84" s="294"/>
      <c r="E84" s="295"/>
      <c r="F84" s="296"/>
      <c r="G84" s="296"/>
      <c r="H84" s="297"/>
      <c r="I84" s="276"/>
      <c r="J84" s="298"/>
      <c r="K84" s="277"/>
      <c r="L84" s="278"/>
      <c r="M84" s="276"/>
      <c r="N84" s="254"/>
    </row>
    <row r="85" spans="1:14" ht="18.5" x14ac:dyDescent="0.35">
      <c r="A85" s="469" t="s">
        <v>71</v>
      </c>
      <c r="B85" s="56"/>
      <c r="C85" s="20"/>
      <c r="D85" s="20"/>
      <c r="E85" s="8"/>
      <c r="F85" s="13"/>
      <c r="G85" s="13"/>
      <c r="H85" s="141"/>
      <c r="I85" s="68"/>
      <c r="J85" s="95"/>
      <c r="K85" s="69"/>
      <c r="L85" s="69"/>
      <c r="M85" s="69"/>
      <c r="N85" s="146"/>
    </row>
    <row r="86" spans="1:14" ht="18.75" customHeight="1" x14ac:dyDescent="0.35">
      <c r="A86" s="470"/>
      <c r="B86" s="57"/>
      <c r="C86" s="35" t="s">
        <v>72</v>
      </c>
      <c r="D86" s="35" t="s">
        <v>679</v>
      </c>
      <c r="E86" s="40"/>
      <c r="F86" s="311"/>
      <c r="G86" s="161"/>
      <c r="H86" s="103"/>
      <c r="I86" s="68"/>
      <c r="J86" s="95"/>
      <c r="K86" s="69"/>
      <c r="L86" s="69"/>
      <c r="M86" s="69"/>
      <c r="N86" s="148" t="s">
        <v>680</v>
      </c>
    </row>
    <row r="87" spans="1:14" x14ac:dyDescent="0.35">
      <c r="A87" s="470"/>
      <c r="B87" s="56"/>
      <c r="C87" s="8"/>
      <c r="D87" s="8"/>
      <c r="E87" s="8"/>
      <c r="F87" s="13"/>
      <c r="G87" s="13"/>
      <c r="H87" s="103"/>
      <c r="I87" s="68"/>
      <c r="J87" s="95"/>
      <c r="K87" s="69"/>
      <c r="L87" s="69"/>
      <c r="M87" s="69"/>
      <c r="N87" s="148"/>
    </row>
    <row r="88" spans="1:14" ht="15.5" x14ac:dyDescent="0.35">
      <c r="A88" s="470"/>
      <c r="B88" s="76"/>
      <c r="C88" s="77"/>
      <c r="D88" s="77"/>
      <c r="E88" s="77"/>
      <c r="F88" s="30"/>
      <c r="G88" s="31"/>
      <c r="H88" s="32" t="s">
        <v>459</v>
      </c>
      <c r="I88" s="33"/>
      <c r="J88" s="98"/>
      <c r="K88" s="34"/>
      <c r="L88" s="137">
        <f>SUM(L86:L86)</f>
        <v>0</v>
      </c>
      <c r="M88" s="137">
        <f>SUM(M86:M86)</f>
        <v>0</v>
      </c>
      <c r="N88" s="148"/>
    </row>
    <row r="89" spans="1:14" ht="15" thickBot="1" x14ac:dyDescent="0.4">
      <c r="A89" s="470"/>
      <c r="B89" s="56"/>
      <c r="C89" s="8"/>
      <c r="D89" s="8"/>
      <c r="E89" s="8"/>
      <c r="F89" s="8"/>
      <c r="G89" s="8"/>
      <c r="H89" s="141"/>
      <c r="I89" s="141"/>
      <c r="J89" s="162"/>
      <c r="K89" s="141"/>
      <c r="L89" s="141"/>
      <c r="M89" s="141"/>
      <c r="N89" s="148"/>
    </row>
    <row r="90" spans="1:14" ht="19" thickBot="1" x14ac:dyDescent="0.4">
      <c r="A90" s="470"/>
      <c r="B90" s="453" t="s">
        <v>57</v>
      </c>
      <c r="C90" s="454"/>
      <c r="D90" s="454"/>
      <c r="E90" s="454"/>
      <c r="F90" s="454"/>
      <c r="G90" s="140"/>
      <c r="H90" s="140" t="s">
        <v>459</v>
      </c>
      <c r="I90" s="50"/>
      <c r="J90" s="94"/>
      <c r="K90" s="51"/>
      <c r="L90" s="52">
        <f>L88</f>
        <v>0</v>
      </c>
      <c r="M90" s="53">
        <f>M88</f>
        <v>0</v>
      </c>
      <c r="N90" s="148"/>
    </row>
    <row r="91" spans="1:14" ht="19" thickBot="1" x14ac:dyDescent="0.4">
      <c r="A91" s="471"/>
      <c r="B91" s="58"/>
      <c r="C91" s="21"/>
      <c r="D91" s="21"/>
      <c r="E91" s="14"/>
      <c r="F91" s="15"/>
      <c r="G91" s="15"/>
      <c r="H91" s="16"/>
      <c r="I91" s="17"/>
      <c r="J91" s="96"/>
      <c r="K91" s="277"/>
      <c r="L91" s="278"/>
      <c r="M91" s="276"/>
      <c r="N91" s="149"/>
    </row>
    <row r="92" spans="1:14" x14ac:dyDescent="0.35">
      <c r="A92" s="78"/>
      <c r="J92" s="99"/>
    </row>
    <row r="93" spans="1:14" x14ac:dyDescent="0.35">
      <c r="A93" s="78"/>
      <c r="J93" s="99"/>
    </row>
    <row r="94" spans="1:14" x14ac:dyDescent="0.35">
      <c r="A94" s="78"/>
      <c r="J94" s="99"/>
    </row>
    <row r="95" spans="1:14" x14ac:dyDescent="0.35">
      <c r="A95" s="78"/>
      <c r="J95" s="99"/>
    </row>
    <row r="96" spans="1:14" x14ac:dyDescent="0.35">
      <c r="A96" s="78"/>
      <c r="J96" s="99"/>
    </row>
    <row r="97" spans="1:10" x14ac:dyDescent="0.35">
      <c r="A97" s="78"/>
      <c r="J97" s="99"/>
    </row>
    <row r="98" spans="1:10" x14ac:dyDescent="0.35">
      <c r="A98" s="78"/>
      <c r="J98" s="99"/>
    </row>
    <row r="99" spans="1:10" x14ac:dyDescent="0.35">
      <c r="A99" s="78"/>
      <c r="J99" s="99"/>
    </row>
    <row r="100" spans="1:10" x14ac:dyDescent="0.35">
      <c r="A100" s="78"/>
      <c r="J100" s="99"/>
    </row>
    <row r="101" spans="1:10" x14ac:dyDescent="0.35">
      <c r="A101" s="78"/>
      <c r="J101" s="99"/>
    </row>
    <row r="102" spans="1:10" x14ac:dyDescent="0.35">
      <c r="A102" s="78"/>
      <c r="J102" s="99"/>
    </row>
    <row r="103" spans="1:10" x14ac:dyDescent="0.35">
      <c r="A103" s="78"/>
      <c r="J103" s="99"/>
    </row>
    <row r="104" spans="1:10" x14ac:dyDescent="0.35">
      <c r="A104" s="78"/>
      <c r="J104" s="99"/>
    </row>
    <row r="105" spans="1:10" x14ac:dyDescent="0.35">
      <c r="A105" s="78"/>
      <c r="J105" s="99"/>
    </row>
    <row r="106" spans="1:10" x14ac:dyDescent="0.35">
      <c r="A106" s="78"/>
      <c r="J106" s="99"/>
    </row>
    <row r="107" spans="1:10" x14ac:dyDescent="0.35">
      <c r="A107" s="78"/>
      <c r="J107" s="99"/>
    </row>
    <row r="108" spans="1:10" x14ac:dyDescent="0.35">
      <c r="A108" s="78"/>
      <c r="J108" s="99"/>
    </row>
    <row r="109" spans="1:10" x14ac:dyDescent="0.35">
      <c r="A109" s="78"/>
      <c r="J109" s="99"/>
    </row>
    <row r="110" spans="1:10" x14ac:dyDescent="0.35">
      <c r="A110" s="78"/>
      <c r="J110" s="99"/>
    </row>
    <row r="111" spans="1:10" x14ac:dyDescent="0.35">
      <c r="A111" s="78"/>
      <c r="J111" s="99"/>
    </row>
    <row r="112" spans="1:10" x14ac:dyDescent="0.35">
      <c r="A112" s="78"/>
      <c r="J112" s="99"/>
    </row>
    <row r="113" spans="1:10" x14ac:dyDescent="0.35">
      <c r="A113" s="78"/>
      <c r="J113" s="99"/>
    </row>
    <row r="114" spans="1:10" x14ac:dyDescent="0.35">
      <c r="A114" s="78"/>
      <c r="J114" s="99"/>
    </row>
    <row r="115" spans="1:10" x14ac:dyDescent="0.35">
      <c r="A115" s="78"/>
      <c r="J115" s="99"/>
    </row>
    <row r="116" spans="1:10" x14ac:dyDescent="0.35">
      <c r="A116" s="78"/>
      <c r="J116" s="99"/>
    </row>
    <row r="117" spans="1:10" x14ac:dyDescent="0.35">
      <c r="A117" s="78"/>
      <c r="J117" s="99"/>
    </row>
    <row r="118" spans="1:10" x14ac:dyDescent="0.35">
      <c r="A118" s="78"/>
      <c r="J118" s="99"/>
    </row>
    <row r="119" spans="1:10" x14ac:dyDescent="0.35">
      <c r="A119" s="78"/>
      <c r="J119" s="99"/>
    </row>
    <row r="120" spans="1:10" x14ac:dyDescent="0.35">
      <c r="A120" s="78"/>
      <c r="J120" s="99"/>
    </row>
    <row r="121" spans="1:10" x14ac:dyDescent="0.35">
      <c r="A121" s="78"/>
      <c r="J121" s="99"/>
    </row>
    <row r="122" spans="1:10" x14ac:dyDescent="0.35">
      <c r="A122" s="78"/>
      <c r="J122" s="99"/>
    </row>
    <row r="123" spans="1:10" x14ac:dyDescent="0.35">
      <c r="A123" s="78"/>
      <c r="J123" s="99"/>
    </row>
    <row r="124" spans="1:10" x14ac:dyDescent="0.35">
      <c r="A124" s="78"/>
      <c r="J124" s="99"/>
    </row>
    <row r="125" spans="1:10" x14ac:dyDescent="0.35">
      <c r="A125" s="78"/>
      <c r="J125" s="99"/>
    </row>
    <row r="126" spans="1:10" x14ac:dyDescent="0.35">
      <c r="A126" s="78"/>
      <c r="J126" s="99"/>
    </row>
    <row r="127" spans="1:10" x14ac:dyDescent="0.35">
      <c r="A127" s="78"/>
      <c r="J127" s="99"/>
    </row>
    <row r="128" spans="1:10" x14ac:dyDescent="0.35">
      <c r="A128" s="78"/>
      <c r="J128" s="99"/>
    </row>
    <row r="129" spans="1:10" x14ac:dyDescent="0.35">
      <c r="A129" s="78"/>
      <c r="J129" s="99"/>
    </row>
    <row r="130" spans="1:10" x14ac:dyDescent="0.35">
      <c r="A130" s="78"/>
      <c r="J130" s="99"/>
    </row>
    <row r="131" spans="1:10" x14ac:dyDescent="0.35">
      <c r="A131" s="78"/>
      <c r="J131" s="99"/>
    </row>
    <row r="132" spans="1:10" x14ac:dyDescent="0.35">
      <c r="A132" s="78"/>
      <c r="J132" s="99"/>
    </row>
    <row r="133" spans="1:10" x14ac:dyDescent="0.35">
      <c r="A133" s="78"/>
      <c r="J133" s="99"/>
    </row>
    <row r="134" spans="1:10" x14ac:dyDescent="0.35">
      <c r="A134" s="78"/>
      <c r="J134" s="99"/>
    </row>
    <row r="135" spans="1:10" x14ac:dyDescent="0.35">
      <c r="A135" s="78"/>
      <c r="J135" s="99"/>
    </row>
    <row r="136" spans="1:10" x14ac:dyDescent="0.35">
      <c r="A136" s="78"/>
      <c r="J136" s="99"/>
    </row>
    <row r="137" spans="1:10" x14ac:dyDescent="0.35">
      <c r="A137" s="78"/>
      <c r="J137" s="99"/>
    </row>
    <row r="138" spans="1:10" x14ac:dyDescent="0.35">
      <c r="A138" s="78"/>
      <c r="J138" s="99"/>
    </row>
    <row r="139" spans="1:10" x14ac:dyDescent="0.35">
      <c r="A139" s="78"/>
      <c r="J139" s="99"/>
    </row>
    <row r="140" spans="1:10" x14ac:dyDescent="0.35">
      <c r="A140" s="78"/>
      <c r="J140" s="99"/>
    </row>
    <row r="141" spans="1:10" x14ac:dyDescent="0.35">
      <c r="A141" s="78"/>
      <c r="J141" s="99"/>
    </row>
    <row r="142" spans="1:10" x14ac:dyDescent="0.35">
      <c r="A142" s="78"/>
      <c r="J142" s="99"/>
    </row>
    <row r="143" spans="1:10" x14ac:dyDescent="0.35">
      <c r="A143" s="78"/>
      <c r="J143" s="99"/>
    </row>
    <row r="144" spans="1:10" x14ac:dyDescent="0.35">
      <c r="A144" s="78"/>
      <c r="J144" s="99"/>
    </row>
    <row r="145" spans="1:10" x14ac:dyDescent="0.35">
      <c r="A145" s="78"/>
      <c r="J145" s="99"/>
    </row>
    <row r="146" spans="1:10" x14ac:dyDescent="0.35">
      <c r="A146" s="78"/>
      <c r="J146" s="99"/>
    </row>
    <row r="147" spans="1:10" x14ac:dyDescent="0.35">
      <c r="A147" s="78"/>
      <c r="J147" s="99"/>
    </row>
    <row r="148" spans="1:10" x14ac:dyDescent="0.35">
      <c r="A148" s="78"/>
      <c r="J148" s="99"/>
    </row>
    <row r="149" spans="1:10" x14ac:dyDescent="0.35">
      <c r="A149" s="78"/>
      <c r="J149" s="99"/>
    </row>
    <row r="150" spans="1:10" x14ac:dyDescent="0.35">
      <c r="A150" s="78"/>
      <c r="J150" s="99"/>
    </row>
    <row r="151" spans="1:10" x14ac:dyDescent="0.35">
      <c r="A151" s="78"/>
      <c r="J151" s="99"/>
    </row>
    <row r="152" spans="1:10" x14ac:dyDescent="0.35">
      <c r="A152" s="78"/>
      <c r="J152" s="99"/>
    </row>
    <row r="153" spans="1:10" x14ac:dyDescent="0.35">
      <c r="J153" s="99"/>
    </row>
    <row r="154" spans="1:10" x14ac:dyDescent="0.35">
      <c r="J154" s="99"/>
    </row>
    <row r="155" spans="1:10" x14ac:dyDescent="0.35">
      <c r="J155" s="99"/>
    </row>
    <row r="156" spans="1:10" x14ac:dyDescent="0.35">
      <c r="J156" s="99"/>
    </row>
    <row r="157" spans="1:10" x14ac:dyDescent="0.35">
      <c r="J157" s="99"/>
    </row>
    <row r="158" spans="1:10" x14ac:dyDescent="0.35">
      <c r="J158" s="99"/>
    </row>
    <row r="159" spans="1:10" x14ac:dyDescent="0.35">
      <c r="J159" s="99"/>
    </row>
    <row r="160" spans="1:10" x14ac:dyDescent="0.35">
      <c r="J160" s="99"/>
    </row>
    <row r="161" spans="10:10" x14ac:dyDescent="0.35">
      <c r="J161" s="99"/>
    </row>
    <row r="162" spans="10:10" x14ac:dyDescent="0.35">
      <c r="J162" s="99"/>
    </row>
    <row r="163" spans="10:10" x14ac:dyDescent="0.35">
      <c r="J163" s="99"/>
    </row>
    <row r="164" spans="10:10" x14ac:dyDescent="0.35">
      <c r="J164" s="99"/>
    </row>
    <row r="165" spans="10:10" x14ac:dyDescent="0.35">
      <c r="J165" s="99"/>
    </row>
    <row r="166" spans="10:10" x14ac:dyDescent="0.35">
      <c r="J166" s="99"/>
    </row>
    <row r="167" spans="10:10" x14ac:dyDescent="0.35">
      <c r="J167" s="99"/>
    </row>
    <row r="168" spans="10:10" x14ac:dyDescent="0.35">
      <c r="J168" s="99"/>
    </row>
    <row r="169" spans="10:10" x14ac:dyDescent="0.35">
      <c r="J169" s="99"/>
    </row>
    <row r="170" spans="10:10" x14ac:dyDescent="0.35">
      <c r="J170" s="99"/>
    </row>
    <row r="171" spans="10:10" x14ac:dyDescent="0.35">
      <c r="J171" s="99"/>
    </row>
    <row r="172" spans="10:10" x14ac:dyDescent="0.35">
      <c r="J172" s="99"/>
    </row>
    <row r="173" spans="10:10" x14ac:dyDescent="0.35">
      <c r="J173" s="99"/>
    </row>
    <row r="174" spans="10:10" x14ac:dyDescent="0.35">
      <c r="J174" s="99"/>
    </row>
    <row r="175" spans="10:10" x14ac:dyDescent="0.35">
      <c r="J175" s="99"/>
    </row>
    <row r="176" spans="10:10" x14ac:dyDescent="0.35">
      <c r="J176" s="99"/>
    </row>
    <row r="177" spans="10:10" x14ac:dyDescent="0.35">
      <c r="J177" s="99"/>
    </row>
    <row r="178" spans="10:10" x14ac:dyDescent="0.35">
      <c r="J178" s="99"/>
    </row>
    <row r="179" spans="10:10" x14ac:dyDescent="0.35">
      <c r="J179" s="99"/>
    </row>
    <row r="180" spans="10:10" x14ac:dyDescent="0.35">
      <c r="J180" s="99"/>
    </row>
    <row r="181" spans="10:10" x14ac:dyDescent="0.35">
      <c r="J181" s="99"/>
    </row>
    <row r="182" spans="10:10" x14ac:dyDescent="0.35">
      <c r="J182" s="99"/>
    </row>
    <row r="183" spans="10:10" x14ac:dyDescent="0.35">
      <c r="J183" s="99"/>
    </row>
    <row r="184" spans="10:10" x14ac:dyDescent="0.35">
      <c r="J184" s="99"/>
    </row>
    <row r="185" spans="10:10" x14ac:dyDescent="0.35">
      <c r="J185" s="99"/>
    </row>
    <row r="186" spans="10:10" x14ac:dyDescent="0.35">
      <c r="J186" s="99"/>
    </row>
    <row r="187" spans="10:10" x14ac:dyDescent="0.35">
      <c r="J187" s="99"/>
    </row>
    <row r="188" spans="10:10" x14ac:dyDescent="0.35">
      <c r="J188" s="99"/>
    </row>
    <row r="189" spans="10:10" x14ac:dyDescent="0.35">
      <c r="J189" s="99"/>
    </row>
    <row r="190" spans="10:10" x14ac:dyDescent="0.35">
      <c r="J190" s="99"/>
    </row>
    <row r="191" spans="10:10" x14ac:dyDescent="0.35">
      <c r="J191" s="99"/>
    </row>
    <row r="192" spans="10:10" x14ac:dyDescent="0.35">
      <c r="J192" s="99"/>
    </row>
    <row r="193" spans="10:10" x14ac:dyDescent="0.35">
      <c r="J193" s="99"/>
    </row>
    <row r="194" spans="10:10" x14ac:dyDescent="0.35">
      <c r="J194" s="99"/>
    </row>
    <row r="195" spans="10:10" x14ac:dyDescent="0.35">
      <c r="J195" s="99"/>
    </row>
    <row r="196" spans="10:10" x14ac:dyDescent="0.35">
      <c r="J196" s="99"/>
    </row>
    <row r="197" spans="10:10" x14ac:dyDescent="0.35">
      <c r="J197" s="99"/>
    </row>
    <row r="198" spans="10:10" x14ac:dyDescent="0.35">
      <c r="J198" s="99"/>
    </row>
    <row r="199" spans="10:10" x14ac:dyDescent="0.35">
      <c r="J199" s="99"/>
    </row>
    <row r="200" spans="10:10" x14ac:dyDescent="0.35">
      <c r="J200" s="99"/>
    </row>
    <row r="201" spans="10:10" x14ac:dyDescent="0.35">
      <c r="J201" s="99"/>
    </row>
    <row r="202" spans="10:10" x14ac:dyDescent="0.35">
      <c r="J202" s="99"/>
    </row>
    <row r="203" spans="10:10" x14ac:dyDescent="0.35">
      <c r="J203" s="99"/>
    </row>
    <row r="204" spans="10:10" x14ac:dyDescent="0.35">
      <c r="J204" s="99"/>
    </row>
    <row r="205" spans="10:10" x14ac:dyDescent="0.35">
      <c r="J205" s="99"/>
    </row>
    <row r="206" spans="10:10" x14ac:dyDescent="0.35">
      <c r="J206" s="99"/>
    </row>
    <row r="207" spans="10:10" x14ac:dyDescent="0.35">
      <c r="J207" s="99"/>
    </row>
    <row r="208" spans="10:10" x14ac:dyDescent="0.35">
      <c r="J208" s="99"/>
    </row>
    <row r="209" spans="10:10" x14ac:dyDescent="0.35">
      <c r="J209" s="99"/>
    </row>
    <row r="210" spans="10:10" x14ac:dyDescent="0.35">
      <c r="J210" s="99"/>
    </row>
    <row r="211" spans="10:10" x14ac:dyDescent="0.35">
      <c r="J211" s="99"/>
    </row>
    <row r="212" spans="10:10" x14ac:dyDescent="0.35">
      <c r="J212" s="99"/>
    </row>
    <row r="213" spans="10:10" x14ac:dyDescent="0.35">
      <c r="J213" s="99"/>
    </row>
    <row r="214" spans="10:10" x14ac:dyDescent="0.35">
      <c r="J214" s="99"/>
    </row>
    <row r="215" spans="10:10" x14ac:dyDescent="0.35">
      <c r="J215" s="99"/>
    </row>
    <row r="216" spans="10:10" x14ac:dyDescent="0.35">
      <c r="J216" s="99"/>
    </row>
    <row r="217" spans="10:10" x14ac:dyDescent="0.35">
      <c r="J217" s="99"/>
    </row>
    <row r="218" spans="10:10" x14ac:dyDescent="0.35">
      <c r="J218" s="99"/>
    </row>
    <row r="219" spans="10:10" x14ac:dyDescent="0.35">
      <c r="J219" s="99"/>
    </row>
    <row r="220" spans="10:10" x14ac:dyDescent="0.35">
      <c r="J220" s="99"/>
    </row>
    <row r="221" spans="10:10" x14ac:dyDescent="0.35">
      <c r="J221" s="99"/>
    </row>
    <row r="222" spans="10:10" x14ac:dyDescent="0.35">
      <c r="J222" s="99"/>
    </row>
    <row r="223" spans="10:10" x14ac:dyDescent="0.35">
      <c r="J223" s="99"/>
    </row>
    <row r="224" spans="10:10" x14ac:dyDescent="0.35">
      <c r="J224" s="99"/>
    </row>
    <row r="225" spans="10:10" x14ac:dyDescent="0.35">
      <c r="J225" s="99"/>
    </row>
    <row r="226" spans="10:10" x14ac:dyDescent="0.35">
      <c r="J226" s="99"/>
    </row>
    <row r="227" spans="10:10" x14ac:dyDescent="0.35">
      <c r="J227" s="99"/>
    </row>
    <row r="228" spans="10:10" x14ac:dyDescent="0.35">
      <c r="J228" s="99"/>
    </row>
    <row r="229" spans="10:10" x14ac:dyDescent="0.35">
      <c r="J229" s="99"/>
    </row>
    <row r="230" spans="10:10" x14ac:dyDescent="0.35">
      <c r="J230" s="99"/>
    </row>
    <row r="231" spans="10:10" x14ac:dyDescent="0.35">
      <c r="J231" s="99"/>
    </row>
    <row r="232" spans="10:10" x14ac:dyDescent="0.35">
      <c r="J232" s="99"/>
    </row>
    <row r="233" spans="10:10" x14ac:dyDescent="0.35">
      <c r="J233" s="99"/>
    </row>
    <row r="234" spans="10:10" x14ac:dyDescent="0.35">
      <c r="J234" s="99"/>
    </row>
    <row r="235" spans="10:10" x14ac:dyDescent="0.35">
      <c r="J235" s="99"/>
    </row>
    <row r="236" spans="10:10" x14ac:dyDescent="0.35">
      <c r="J236" s="99"/>
    </row>
    <row r="237" spans="10:10" x14ac:dyDescent="0.35">
      <c r="J237" s="99"/>
    </row>
    <row r="238" spans="10:10" x14ac:dyDescent="0.35">
      <c r="J238" s="99"/>
    </row>
    <row r="239" spans="10:10" x14ac:dyDescent="0.35">
      <c r="J239" s="99"/>
    </row>
    <row r="240" spans="10:10" x14ac:dyDescent="0.35">
      <c r="J240" s="99"/>
    </row>
    <row r="241" spans="10:10" x14ac:dyDescent="0.35">
      <c r="J241" s="99"/>
    </row>
    <row r="242" spans="10:10" x14ac:dyDescent="0.35">
      <c r="J242" s="99"/>
    </row>
    <row r="243" spans="10:10" x14ac:dyDescent="0.35">
      <c r="J243" s="99"/>
    </row>
    <row r="244" spans="10:10" x14ac:dyDescent="0.35">
      <c r="J244" s="99"/>
    </row>
    <row r="245" spans="10:10" x14ac:dyDescent="0.35">
      <c r="J245" s="99"/>
    </row>
    <row r="246" spans="10:10" x14ac:dyDescent="0.35">
      <c r="J246" s="99"/>
    </row>
    <row r="247" spans="10:10" x14ac:dyDescent="0.35">
      <c r="J247" s="99"/>
    </row>
    <row r="248" spans="10:10" x14ac:dyDescent="0.35">
      <c r="J248" s="99"/>
    </row>
    <row r="249" spans="10:10" x14ac:dyDescent="0.35">
      <c r="J249" s="99"/>
    </row>
    <row r="250" spans="10:10" x14ac:dyDescent="0.35">
      <c r="J250" s="99"/>
    </row>
    <row r="251" spans="10:10" x14ac:dyDescent="0.35">
      <c r="J251" s="99"/>
    </row>
    <row r="252" spans="10:10" x14ac:dyDescent="0.35">
      <c r="J252" s="99"/>
    </row>
    <row r="253" spans="10:10" x14ac:dyDescent="0.35">
      <c r="J253" s="99"/>
    </row>
    <row r="254" spans="10:10" x14ac:dyDescent="0.35">
      <c r="J254" s="99"/>
    </row>
    <row r="255" spans="10:10" x14ac:dyDescent="0.35">
      <c r="J255" s="99"/>
    </row>
    <row r="256" spans="10:10" x14ac:dyDescent="0.35">
      <c r="J256" s="99"/>
    </row>
    <row r="257" spans="10:10" x14ac:dyDescent="0.35">
      <c r="J257" s="99"/>
    </row>
    <row r="258" spans="10:10" x14ac:dyDescent="0.35">
      <c r="J258" s="99"/>
    </row>
    <row r="259" spans="10:10" x14ac:dyDescent="0.35">
      <c r="J259" s="99"/>
    </row>
    <row r="260" spans="10:10" x14ac:dyDescent="0.35">
      <c r="J260" s="99"/>
    </row>
    <row r="261" spans="10:10" x14ac:dyDescent="0.35">
      <c r="J261" s="99"/>
    </row>
    <row r="262" spans="10:10" x14ac:dyDescent="0.35">
      <c r="J262" s="99"/>
    </row>
    <row r="263" spans="10:10" x14ac:dyDescent="0.35">
      <c r="J263" s="99"/>
    </row>
    <row r="264" spans="10:10" x14ac:dyDescent="0.35">
      <c r="J264" s="99"/>
    </row>
    <row r="265" spans="10:10" x14ac:dyDescent="0.35">
      <c r="J265" s="99"/>
    </row>
    <row r="266" spans="10:10" x14ac:dyDescent="0.35">
      <c r="J266" s="99"/>
    </row>
    <row r="267" spans="10:10" x14ac:dyDescent="0.35">
      <c r="J267" s="99"/>
    </row>
    <row r="268" spans="10:10" x14ac:dyDescent="0.35">
      <c r="J268" s="99"/>
    </row>
    <row r="269" spans="10:10" x14ac:dyDescent="0.35">
      <c r="J269" s="99"/>
    </row>
    <row r="270" spans="10:10" x14ac:dyDescent="0.35">
      <c r="J270" s="99"/>
    </row>
    <row r="271" spans="10:10" x14ac:dyDescent="0.35">
      <c r="J271" s="99"/>
    </row>
    <row r="272" spans="10:10" x14ac:dyDescent="0.35">
      <c r="J272" s="99"/>
    </row>
    <row r="273" spans="10:10" x14ac:dyDescent="0.35">
      <c r="J273" s="99"/>
    </row>
    <row r="274" spans="10:10" x14ac:dyDescent="0.35">
      <c r="J274" s="99"/>
    </row>
    <row r="275" spans="10:10" x14ac:dyDescent="0.35">
      <c r="J275" s="99"/>
    </row>
    <row r="276" spans="10:10" x14ac:dyDescent="0.35">
      <c r="J276" s="99"/>
    </row>
    <row r="277" spans="10:10" x14ac:dyDescent="0.35">
      <c r="J277" s="99"/>
    </row>
    <row r="278" spans="10:10" x14ac:dyDescent="0.35">
      <c r="J278" s="99"/>
    </row>
    <row r="279" spans="10:10" x14ac:dyDescent="0.35">
      <c r="J279" s="99"/>
    </row>
    <row r="280" spans="10:10" x14ac:dyDescent="0.35">
      <c r="J280" s="99"/>
    </row>
    <row r="281" spans="10:10" x14ac:dyDescent="0.35">
      <c r="J281" s="99"/>
    </row>
    <row r="282" spans="10:10" x14ac:dyDescent="0.35">
      <c r="J282" s="99"/>
    </row>
    <row r="283" spans="10:10" x14ac:dyDescent="0.35">
      <c r="J283" s="99"/>
    </row>
    <row r="284" spans="10:10" x14ac:dyDescent="0.35">
      <c r="J284" s="99"/>
    </row>
    <row r="285" spans="10:10" x14ac:dyDescent="0.35">
      <c r="J285" s="99"/>
    </row>
    <row r="286" spans="10:10" x14ac:dyDescent="0.35">
      <c r="J286" s="99"/>
    </row>
    <row r="287" spans="10:10" x14ac:dyDescent="0.35">
      <c r="J287" s="99"/>
    </row>
    <row r="288" spans="10:10" x14ac:dyDescent="0.35">
      <c r="J288" s="99"/>
    </row>
    <row r="289" spans="10:10" x14ac:dyDescent="0.35">
      <c r="J289" s="99"/>
    </row>
    <row r="290" spans="10:10" x14ac:dyDescent="0.35">
      <c r="J290" s="99"/>
    </row>
    <row r="291" spans="10:10" x14ac:dyDescent="0.35">
      <c r="J291" s="99"/>
    </row>
    <row r="292" spans="10:10" x14ac:dyDescent="0.35">
      <c r="J292" s="99"/>
    </row>
    <row r="293" spans="10:10" x14ac:dyDescent="0.35">
      <c r="J293" s="99"/>
    </row>
    <row r="294" spans="10:10" x14ac:dyDescent="0.35">
      <c r="J294" s="99"/>
    </row>
    <row r="295" spans="10:10" x14ac:dyDescent="0.35">
      <c r="J295" s="99"/>
    </row>
    <row r="296" spans="10:10" x14ac:dyDescent="0.35">
      <c r="J296" s="99"/>
    </row>
    <row r="297" spans="10:10" x14ac:dyDescent="0.35">
      <c r="J297" s="99"/>
    </row>
    <row r="298" spans="10:10" x14ac:dyDescent="0.35">
      <c r="J298" s="99"/>
    </row>
    <row r="299" spans="10:10" x14ac:dyDescent="0.35">
      <c r="J299" s="99"/>
    </row>
    <row r="300" spans="10:10" x14ac:dyDescent="0.35">
      <c r="J300" s="99"/>
    </row>
    <row r="301" spans="10:10" x14ac:dyDescent="0.35">
      <c r="J301" s="99"/>
    </row>
    <row r="302" spans="10:10" x14ac:dyDescent="0.35">
      <c r="J302" s="99"/>
    </row>
    <row r="303" spans="10:10" x14ac:dyDescent="0.35">
      <c r="J303" s="99"/>
    </row>
    <row r="304" spans="10:10" x14ac:dyDescent="0.35">
      <c r="J304" s="99"/>
    </row>
    <row r="305" spans="10:10" x14ac:dyDescent="0.35">
      <c r="J305" s="99"/>
    </row>
    <row r="306" spans="10:10" x14ac:dyDescent="0.35">
      <c r="J306" s="99"/>
    </row>
    <row r="307" spans="10:10" x14ac:dyDescent="0.35">
      <c r="J307" s="99"/>
    </row>
    <row r="308" spans="10:10" x14ac:dyDescent="0.35">
      <c r="J308" s="99"/>
    </row>
  </sheetData>
  <sheetProtection sheet="1" objects="1" scenarios="1"/>
  <mergeCells count="22">
    <mergeCell ref="A9:G9"/>
    <mergeCell ref="A2:N2"/>
    <mergeCell ref="A5:G5"/>
    <mergeCell ref="A6:G6"/>
    <mergeCell ref="A7:G7"/>
    <mergeCell ref="A8:G8"/>
    <mergeCell ref="A10:G10"/>
    <mergeCell ref="F14:G14"/>
    <mergeCell ref="B21:F21"/>
    <mergeCell ref="A34:A54"/>
    <mergeCell ref="B53:F53"/>
    <mergeCell ref="A16:A22"/>
    <mergeCell ref="C14:D14"/>
    <mergeCell ref="A11:K11"/>
    <mergeCell ref="A85:A91"/>
    <mergeCell ref="B90:F90"/>
    <mergeCell ref="A62:A69"/>
    <mergeCell ref="B68:F68"/>
    <mergeCell ref="A55:A61"/>
    <mergeCell ref="B60:F60"/>
    <mergeCell ref="A70:A84"/>
    <mergeCell ref="B83:F83"/>
  </mergeCells>
  <pageMargins left="0.23622047244094491" right="0.23622047244094491" top="0.15748031496062992" bottom="0.31496062992125984" header="0.15748031496062992" footer="0.11811023622047245"/>
  <pageSetup paperSize="9" scale="43" firstPageNumber="9" fitToHeight="0" orientation="landscape" useFirstPageNumber="1" horizontalDpi="1200" verticalDpi="1200" r:id="rId1"/>
  <headerFooter>
    <oddFooter>&amp;C&amp;P/43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N306"/>
  <sheetViews>
    <sheetView view="pageLayout" zoomScale="40" zoomScaleNormal="70" zoomScalePageLayoutView="40" workbookViewId="0">
      <selection activeCell="K17" sqref="K17"/>
    </sheetView>
  </sheetViews>
  <sheetFormatPr defaultColWidth="9.1796875" defaultRowHeight="14.5" x14ac:dyDescent="0.35"/>
  <cols>
    <col min="1" max="1" width="5" style="43" customWidth="1"/>
    <col min="2" max="2" width="5.7265625" style="54" customWidth="1"/>
    <col min="3" max="3" width="5.81640625" style="6" customWidth="1"/>
    <col min="4" max="4" width="7" style="6" customWidth="1"/>
    <col min="5" max="5" width="3.7265625" style="6" customWidth="1"/>
    <col min="6" max="6" width="50.7265625" style="6" customWidth="1"/>
    <col min="7" max="7" width="20.26953125" style="6" customWidth="1"/>
    <col min="8" max="8" width="55.7265625" style="43" customWidth="1"/>
    <col min="9" max="11" width="13.7265625" style="43" customWidth="1"/>
    <col min="12" max="13" width="25.7265625" style="43" customWidth="1"/>
    <col min="14" max="14" width="85.7265625" style="43" customWidth="1"/>
    <col min="15" max="15" width="13.7265625" style="43" customWidth="1"/>
    <col min="16" max="16384" width="9.1796875" style="43"/>
  </cols>
  <sheetData>
    <row r="2" spans="1:14" s="151" customFormat="1" ht="35.15" customHeight="1" x14ac:dyDescent="0.35">
      <c r="A2" s="467" t="s">
        <v>746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</row>
    <row r="3" spans="1:14" s="151" customFormat="1" ht="10" customHeight="1" thickBot="1" x14ac:dyDescent="0.4">
      <c r="A3" s="264"/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156"/>
      <c r="M3" s="156"/>
      <c r="N3" s="156"/>
    </row>
    <row r="4" spans="1:14" ht="26.5" thickBot="1" x14ac:dyDescent="0.4">
      <c r="A4" s="245"/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153" t="s">
        <v>7</v>
      </c>
      <c r="M4" s="153" t="s">
        <v>8</v>
      </c>
      <c r="N4" s="152"/>
    </row>
    <row r="5" spans="1:14" ht="18.5" x14ac:dyDescent="0.35">
      <c r="A5" s="457" t="s">
        <v>55</v>
      </c>
      <c r="B5" s="458"/>
      <c r="C5" s="458"/>
      <c r="D5" s="458"/>
      <c r="E5" s="458"/>
      <c r="F5" s="458"/>
      <c r="G5" s="458"/>
      <c r="H5" s="244"/>
      <c r="I5" s="244"/>
      <c r="J5" s="244"/>
      <c r="K5" s="244"/>
      <c r="L5" s="154">
        <f>L23</f>
        <v>0</v>
      </c>
      <c r="M5" s="154">
        <f>M23</f>
        <v>0</v>
      </c>
      <c r="N5" s="152"/>
    </row>
    <row r="6" spans="1:14" ht="18.5" x14ac:dyDescent="0.35">
      <c r="A6" s="457" t="s">
        <v>37</v>
      </c>
      <c r="B6" s="458"/>
      <c r="C6" s="458"/>
      <c r="D6" s="458"/>
      <c r="E6" s="458"/>
      <c r="F6" s="458"/>
      <c r="G6" s="458"/>
      <c r="H6" s="244"/>
      <c r="I6" s="244"/>
      <c r="J6" s="244"/>
      <c r="K6" s="244"/>
      <c r="L6" s="154">
        <f>L98</f>
        <v>0</v>
      </c>
      <c r="M6" s="154">
        <f>M98</f>
        <v>0</v>
      </c>
      <c r="N6" s="152"/>
    </row>
    <row r="7" spans="1:14" ht="18.5" x14ac:dyDescent="0.35">
      <c r="A7" s="457" t="s">
        <v>43</v>
      </c>
      <c r="B7" s="458"/>
      <c r="C7" s="458"/>
      <c r="D7" s="458"/>
      <c r="E7" s="458"/>
      <c r="F7" s="458"/>
      <c r="G7" s="458"/>
      <c r="H7" s="244"/>
      <c r="I7" s="244"/>
      <c r="J7" s="244"/>
      <c r="K7" s="244"/>
      <c r="L7" s="154">
        <f>L109</f>
        <v>0</v>
      </c>
      <c r="M7" s="154">
        <f>M109</f>
        <v>0</v>
      </c>
      <c r="N7" s="152"/>
    </row>
    <row r="8" spans="1:14" ht="18.5" x14ac:dyDescent="0.35">
      <c r="A8" s="457" t="s">
        <v>45</v>
      </c>
      <c r="B8" s="458"/>
      <c r="C8" s="458"/>
      <c r="D8" s="458"/>
      <c r="E8" s="458"/>
      <c r="F8" s="458"/>
      <c r="G8" s="458"/>
      <c r="H8" s="244"/>
      <c r="I8" s="244"/>
      <c r="J8" s="244"/>
      <c r="K8" s="244"/>
      <c r="L8" s="154">
        <f>L128</f>
        <v>0</v>
      </c>
      <c r="M8" s="154">
        <f>M128</f>
        <v>0</v>
      </c>
      <c r="N8" s="152"/>
    </row>
    <row r="9" spans="1:14" ht="18.5" x14ac:dyDescent="0.35">
      <c r="A9" s="457" t="s">
        <v>56</v>
      </c>
      <c r="B9" s="458"/>
      <c r="C9" s="458"/>
      <c r="D9" s="458"/>
      <c r="E9" s="458"/>
      <c r="F9" s="458"/>
      <c r="G9" s="458"/>
      <c r="H9" s="244"/>
      <c r="I9" s="244"/>
      <c r="J9" s="244"/>
      <c r="K9" s="244"/>
      <c r="L9" s="154">
        <f>L143</f>
        <v>0</v>
      </c>
      <c r="M9" s="154">
        <f>M143</f>
        <v>0</v>
      </c>
      <c r="N9" s="152"/>
    </row>
    <row r="10" spans="1:14" ht="19" thickBot="1" x14ac:dyDescent="0.4">
      <c r="A10" s="457" t="s">
        <v>57</v>
      </c>
      <c r="B10" s="458"/>
      <c r="C10" s="458"/>
      <c r="D10" s="458"/>
      <c r="E10" s="458"/>
      <c r="F10" s="458"/>
      <c r="G10" s="458"/>
      <c r="H10" s="244"/>
      <c r="I10" s="244"/>
      <c r="J10" s="244"/>
      <c r="K10" s="244"/>
      <c r="L10" s="154">
        <f>L150</f>
        <v>0</v>
      </c>
      <c r="M10" s="154">
        <f>M150</f>
        <v>0</v>
      </c>
      <c r="N10" s="152"/>
    </row>
    <row r="11" spans="1:14" ht="26.5" thickBot="1" x14ac:dyDescent="0.4">
      <c r="A11" s="465" t="s">
        <v>461</v>
      </c>
      <c r="B11" s="458"/>
      <c r="C11" s="458"/>
      <c r="D11" s="458"/>
      <c r="E11" s="458"/>
      <c r="F11" s="458"/>
      <c r="G11" s="458"/>
      <c r="H11" s="458"/>
      <c r="I11" s="458"/>
      <c r="J11" s="458"/>
      <c r="K11" s="466"/>
      <c r="L11" s="155">
        <f>SUM(L5:L10)</f>
        <v>0</v>
      </c>
      <c r="M11" s="155">
        <f>SUM(M5:M10)</f>
        <v>0</v>
      </c>
      <c r="N11" s="152"/>
    </row>
    <row r="12" spans="1:14" ht="26" x14ac:dyDescent="0.35">
      <c r="A12" s="246"/>
      <c r="B12" s="247"/>
      <c r="C12" s="248"/>
      <c r="D12" s="248"/>
      <c r="E12" s="248"/>
      <c r="F12" s="248"/>
      <c r="G12" s="248"/>
      <c r="H12" s="248"/>
      <c r="I12" s="248"/>
      <c r="J12" s="248"/>
      <c r="K12" s="248"/>
    </row>
    <row r="13" spans="1:14" ht="19" thickBot="1" x14ac:dyDescent="0.4">
      <c r="A13" s="248"/>
      <c r="B13" s="269"/>
      <c r="C13" s="270"/>
      <c r="D13" s="270"/>
      <c r="E13" s="271"/>
      <c r="F13" s="271"/>
      <c r="G13" s="271"/>
      <c r="H13" s="248"/>
      <c r="I13" s="248"/>
      <c r="J13" s="248"/>
      <c r="K13" s="248"/>
    </row>
    <row r="14" spans="1:14" s="1" customFormat="1" ht="30.75" customHeight="1" thickBot="1" x14ac:dyDescent="0.4">
      <c r="A14" s="27" t="s">
        <v>25</v>
      </c>
      <c r="B14" s="27" t="s">
        <v>26</v>
      </c>
      <c r="C14" s="464" t="s">
        <v>27</v>
      </c>
      <c r="D14" s="460"/>
      <c r="E14" s="5"/>
      <c r="F14" s="459" t="s">
        <v>11</v>
      </c>
      <c r="G14" s="460"/>
      <c r="H14" s="4" t="s">
        <v>48</v>
      </c>
      <c r="I14" s="4" t="s">
        <v>0</v>
      </c>
      <c r="J14" s="4" t="s">
        <v>1</v>
      </c>
      <c r="K14" s="4" t="s">
        <v>2</v>
      </c>
      <c r="L14" s="4" t="s">
        <v>7</v>
      </c>
      <c r="M14" s="4" t="s">
        <v>8</v>
      </c>
      <c r="N14" s="4" t="s">
        <v>3</v>
      </c>
    </row>
    <row r="15" spans="1:14" s="204" customFormat="1" ht="15" customHeight="1" thickBot="1" x14ac:dyDescent="0.4">
      <c r="A15" s="285"/>
      <c r="B15" s="286"/>
      <c r="C15" s="287"/>
      <c r="D15" s="287"/>
      <c r="E15" s="271"/>
      <c r="F15" s="288"/>
      <c r="G15" s="288"/>
      <c r="H15" s="288"/>
      <c r="I15" s="288"/>
      <c r="J15" s="288"/>
      <c r="K15" s="288"/>
      <c r="L15" s="288"/>
      <c r="M15" s="288"/>
      <c r="N15" s="288"/>
    </row>
    <row r="16" spans="1:14" ht="18.5" x14ac:dyDescent="0.35">
      <c r="A16" s="476" t="s">
        <v>41</v>
      </c>
      <c r="B16" s="55"/>
      <c r="C16" s="45"/>
      <c r="D16" s="45"/>
      <c r="E16" s="46"/>
      <c r="F16" s="47"/>
      <c r="G16" s="47"/>
      <c r="H16" s="44"/>
      <c r="I16" s="48"/>
      <c r="J16" s="92"/>
      <c r="K16" s="49"/>
      <c r="L16" s="49"/>
      <c r="M16" s="49"/>
      <c r="N16" s="157"/>
    </row>
    <row r="17" spans="1:14" ht="21" customHeight="1" x14ac:dyDescent="0.45">
      <c r="A17" s="462"/>
      <c r="B17" s="57">
        <v>46</v>
      </c>
      <c r="C17" s="35" t="s">
        <v>9</v>
      </c>
      <c r="D17" s="35" t="s">
        <v>200</v>
      </c>
      <c r="E17" s="36"/>
      <c r="F17" s="37" t="s">
        <v>203</v>
      </c>
      <c r="G17" s="10"/>
      <c r="H17" s="103" t="s">
        <v>204</v>
      </c>
      <c r="I17" s="68" t="s">
        <v>4</v>
      </c>
      <c r="J17" s="95">
        <f>62.5</f>
        <v>62.5</v>
      </c>
      <c r="K17" s="312">
        <v>0</v>
      </c>
      <c r="L17" s="141"/>
      <c r="M17" s="69">
        <f>K17*J17</f>
        <v>0</v>
      </c>
      <c r="N17" s="158"/>
    </row>
    <row r="18" spans="1:14" ht="21" customHeight="1" x14ac:dyDescent="0.45">
      <c r="A18" s="462"/>
      <c r="B18" s="249"/>
      <c r="C18" s="259"/>
      <c r="D18" s="259"/>
      <c r="E18" s="303"/>
      <c r="F18" s="304"/>
      <c r="G18" s="305"/>
      <c r="H18" s="239" t="s">
        <v>543</v>
      </c>
      <c r="I18" s="68" t="s">
        <v>6</v>
      </c>
      <c r="J18" s="95">
        <v>1</v>
      </c>
      <c r="K18" s="312">
        <v>0</v>
      </c>
      <c r="L18" s="141"/>
      <c r="M18" s="69">
        <f>K18*J18</f>
        <v>0</v>
      </c>
      <c r="N18" s="158"/>
    </row>
    <row r="19" spans="1:14" ht="21" customHeight="1" x14ac:dyDescent="0.45">
      <c r="A19" s="462"/>
      <c r="B19" s="249"/>
      <c r="C19" s="259"/>
      <c r="D19" s="259"/>
      <c r="E19" s="303"/>
      <c r="F19" s="304"/>
      <c r="G19" s="305"/>
      <c r="H19" s="239" t="s">
        <v>373</v>
      </c>
      <c r="I19" s="68" t="s">
        <v>4</v>
      </c>
      <c r="J19" s="95">
        <f>9.6*2.6</f>
        <v>24.96</v>
      </c>
      <c r="K19" s="312">
        <v>0</v>
      </c>
      <c r="L19" s="69"/>
      <c r="M19" s="69">
        <f>K19*J19</f>
        <v>0</v>
      </c>
      <c r="N19" s="158"/>
    </row>
    <row r="20" spans="1:14" ht="18.5" x14ac:dyDescent="0.35">
      <c r="A20" s="462"/>
      <c r="B20" s="306"/>
      <c r="C20" s="307"/>
      <c r="D20" s="307"/>
      <c r="E20" s="251"/>
      <c r="F20" s="217"/>
      <c r="G20" s="217"/>
      <c r="H20" s="229"/>
      <c r="I20" s="68"/>
      <c r="J20" s="95"/>
      <c r="K20" s="69"/>
      <c r="L20" s="69"/>
      <c r="M20" s="69"/>
      <c r="N20" s="159"/>
    </row>
    <row r="21" spans="1:14" ht="18.5" x14ac:dyDescent="0.35">
      <c r="A21" s="462"/>
      <c r="B21" s="57">
        <v>47</v>
      </c>
      <c r="C21" s="35" t="s">
        <v>9</v>
      </c>
      <c r="D21" s="35" t="s">
        <v>201</v>
      </c>
      <c r="E21" s="40"/>
      <c r="F21" s="39" t="s">
        <v>205</v>
      </c>
      <c r="G21" s="13"/>
      <c r="H21" s="103" t="s">
        <v>708</v>
      </c>
      <c r="I21" s="68" t="s">
        <v>4</v>
      </c>
      <c r="J21" s="95">
        <f>62.5</f>
        <v>62.5</v>
      </c>
      <c r="K21" s="312">
        <v>0</v>
      </c>
      <c r="L21" s="141"/>
      <c r="M21" s="69">
        <f>K21*J21</f>
        <v>0</v>
      </c>
      <c r="N21" s="159"/>
    </row>
    <row r="22" spans="1:14" ht="15" customHeight="1" thickBot="1" x14ac:dyDescent="0.4">
      <c r="A22" s="462"/>
      <c r="B22" s="56"/>
      <c r="C22" s="20"/>
      <c r="D22" s="20"/>
      <c r="E22" s="8"/>
      <c r="F22" s="26"/>
      <c r="G22" s="13"/>
      <c r="H22" s="103"/>
      <c r="I22" s="68"/>
      <c r="J22" s="95"/>
      <c r="K22" s="69"/>
      <c r="L22" s="69"/>
      <c r="M22" s="69"/>
      <c r="N22" s="159"/>
    </row>
    <row r="23" spans="1:14" ht="19" thickBot="1" x14ac:dyDescent="0.4">
      <c r="A23" s="462"/>
      <c r="B23" s="453" t="s">
        <v>13</v>
      </c>
      <c r="C23" s="454"/>
      <c r="D23" s="454"/>
      <c r="E23" s="454"/>
      <c r="F23" s="454"/>
      <c r="G23" s="140"/>
      <c r="H23" s="140" t="s">
        <v>459</v>
      </c>
      <c r="I23" s="50"/>
      <c r="J23" s="94"/>
      <c r="K23" s="51"/>
      <c r="L23" s="52">
        <f>SUM(L17:L21)</f>
        <v>0</v>
      </c>
      <c r="M23" s="53">
        <f>SUM(M17:M21)</f>
        <v>0</v>
      </c>
      <c r="N23" s="159"/>
    </row>
    <row r="24" spans="1:14" ht="19" thickBot="1" x14ac:dyDescent="0.4">
      <c r="A24" s="463"/>
      <c r="B24" s="58"/>
      <c r="C24" s="21"/>
      <c r="D24" s="21"/>
      <c r="E24" s="14"/>
      <c r="F24" s="15"/>
      <c r="G24" s="15"/>
      <c r="H24" s="16"/>
      <c r="I24" s="17"/>
      <c r="J24" s="96"/>
      <c r="K24" s="277"/>
      <c r="L24" s="278"/>
      <c r="M24" s="276"/>
      <c r="N24" s="159"/>
    </row>
    <row r="25" spans="1:14" x14ac:dyDescent="0.35">
      <c r="A25" s="168"/>
      <c r="B25" s="56"/>
      <c r="C25" s="8"/>
      <c r="D25" s="8"/>
      <c r="E25" s="8"/>
      <c r="F25" s="8"/>
      <c r="G25" s="8"/>
      <c r="H25" s="141"/>
      <c r="I25" s="141"/>
      <c r="J25" s="162"/>
      <c r="K25" s="141"/>
      <c r="L25" s="141"/>
      <c r="M25" s="141"/>
      <c r="N25" s="146"/>
    </row>
    <row r="26" spans="1:14" ht="18.5" x14ac:dyDescent="0.35">
      <c r="A26" s="168"/>
      <c r="B26" s="57">
        <v>48</v>
      </c>
      <c r="C26" s="35" t="s">
        <v>14</v>
      </c>
      <c r="D26" s="35" t="s">
        <v>200</v>
      </c>
      <c r="E26" s="40"/>
      <c r="F26" s="160" t="s">
        <v>32</v>
      </c>
      <c r="G26" s="161" t="s">
        <v>17</v>
      </c>
      <c r="H26" s="103" t="s">
        <v>475</v>
      </c>
      <c r="I26" s="68" t="s">
        <v>5</v>
      </c>
      <c r="J26" s="95">
        <f>1.78*2+0.83*2</f>
        <v>5.22</v>
      </c>
      <c r="K26" s="312">
        <v>0</v>
      </c>
      <c r="L26" s="69">
        <f>K26*J26</f>
        <v>0</v>
      </c>
      <c r="M26" s="312">
        <v>0</v>
      </c>
      <c r="N26" s="148"/>
    </row>
    <row r="27" spans="1:14" ht="18.5" x14ac:dyDescent="0.35">
      <c r="A27" s="168"/>
      <c r="B27" s="56"/>
      <c r="C27" s="20"/>
      <c r="D27" s="20"/>
      <c r="E27" s="8"/>
      <c r="F27" s="13"/>
      <c r="G27" s="161"/>
      <c r="H27" s="103" t="s">
        <v>476</v>
      </c>
      <c r="I27" s="68" t="s">
        <v>5</v>
      </c>
      <c r="J27" s="95">
        <f>3*0.75</f>
        <v>2.25</v>
      </c>
      <c r="K27" s="312">
        <v>0</v>
      </c>
      <c r="L27" s="69">
        <f>K27*J27</f>
        <v>0</v>
      </c>
      <c r="M27" s="312">
        <v>0</v>
      </c>
      <c r="N27" s="148"/>
    </row>
    <row r="28" spans="1:14" x14ac:dyDescent="0.35">
      <c r="A28" s="168"/>
      <c r="B28" s="56"/>
      <c r="C28" s="8"/>
      <c r="D28" s="8"/>
      <c r="E28" s="8"/>
      <c r="F28" s="13"/>
      <c r="G28" s="161"/>
      <c r="H28" s="103" t="s">
        <v>705</v>
      </c>
      <c r="I28" s="68" t="s">
        <v>5</v>
      </c>
      <c r="J28" s="95">
        <f>3*0.75*0.03</f>
        <v>6.7500000000000004E-2</v>
      </c>
      <c r="K28" s="312">
        <v>0</v>
      </c>
      <c r="L28" s="69">
        <f>K28*J28</f>
        <v>0</v>
      </c>
      <c r="M28" s="312">
        <v>0</v>
      </c>
      <c r="N28" s="148"/>
    </row>
    <row r="29" spans="1:14" x14ac:dyDescent="0.35">
      <c r="A29" s="168"/>
      <c r="B29" s="56"/>
      <c r="C29" s="8"/>
      <c r="D29" s="8"/>
      <c r="E29" s="8"/>
      <c r="F29" s="13"/>
      <c r="G29" s="161"/>
      <c r="H29" s="103"/>
      <c r="I29" s="68"/>
      <c r="J29" s="95"/>
      <c r="K29" s="69"/>
      <c r="L29" s="69"/>
      <c r="M29" s="69"/>
      <c r="N29" s="148"/>
    </row>
    <row r="30" spans="1:14" x14ac:dyDescent="0.35">
      <c r="A30" s="168"/>
      <c r="B30" s="56"/>
      <c r="C30" s="8"/>
      <c r="D30" s="8"/>
      <c r="E30" s="8"/>
      <c r="F30" s="13"/>
      <c r="G30" s="161" t="s">
        <v>18</v>
      </c>
      <c r="H30" s="103" t="s">
        <v>498</v>
      </c>
      <c r="I30" s="68" t="s">
        <v>4</v>
      </c>
      <c r="J30" s="95">
        <f>J26*2*0.04*3+0.5</f>
        <v>1.7527999999999999</v>
      </c>
      <c r="K30" s="312">
        <v>0</v>
      </c>
      <c r="L30" s="69">
        <f>K30*J30</f>
        <v>0</v>
      </c>
      <c r="M30" s="312">
        <v>0</v>
      </c>
      <c r="N30" s="148" t="s">
        <v>519</v>
      </c>
    </row>
    <row r="31" spans="1:14" x14ac:dyDescent="0.35">
      <c r="A31" s="168"/>
      <c r="B31" s="56"/>
      <c r="C31" s="8"/>
      <c r="D31" s="8"/>
      <c r="E31" s="8"/>
      <c r="F31" s="13"/>
      <c r="G31" s="161"/>
      <c r="H31" s="103"/>
      <c r="I31" s="68"/>
      <c r="J31" s="95"/>
      <c r="K31" s="69"/>
      <c r="L31" s="69"/>
      <c r="M31" s="69"/>
      <c r="N31" s="148"/>
    </row>
    <row r="32" spans="1:14" x14ac:dyDescent="0.35">
      <c r="A32" s="168"/>
      <c r="B32" s="56"/>
      <c r="C32" s="8"/>
      <c r="D32" s="8"/>
      <c r="E32" s="8"/>
      <c r="F32" s="13"/>
      <c r="G32" s="161" t="s">
        <v>19</v>
      </c>
      <c r="H32" s="103" t="s">
        <v>770</v>
      </c>
      <c r="I32" s="68" t="s">
        <v>4</v>
      </c>
      <c r="J32" s="95">
        <f>0.79*0.79</f>
        <v>0.6241000000000001</v>
      </c>
      <c r="K32" s="312">
        <v>0</v>
      </c>
      <c r="L32" s="69">
        <f>K32*J32</f>
        <v>0</v>
      </c>
      <c r="M32" s="312">
        <v>0</v>
      </c>
      <c r="N32" s="148"/>
    </row>
    <row r="33" spans="1:14" x14ac:dyDescent="0.35">
      <c r="A33" s="168"/>
      <c r="B33" s="56"/>
      <c r="C33" s="8"/>
      <c r="D33" s="8"/>
      <c r="E33" s="8"/>
      <c r="F33" s="13"/>
      <c r="G33" s="13"/>
      <c r="H33" s="103"/>
      <c r="I33" s="68"/>
      <c r="J33" s="95"/>
      <c r="K33" s="69"/>
      <c r="L33" s="69"/>
      <c r="M33" s="69"/>
      <c r="N33" s="148"/>
    </row>
    <row r="34" spans="1:14" ht="15.5" x14ac:dyDescent="0.35">
      <c r="A34" s="168"/>
      <c r="B34" s="76"/>
      <c r="C34" s="77"/>
      <c r="D34" s="77"/>
      <c r="E34" s="77"/>
      <c r="F34" s="30"/>
      <c r="G34" s="31"/>
      <c r="H34" s="32" t="s">
        <v>459</v>
      </c>
      <c r="I34" s="33"/>
      <c r="J34" s="98"/>
      <c r="K34" s="34"/>
      <c r="L34" s="137">
        <f>SUM(L26:L32)</f>
        <v>0</v>
      </c>
      <c r="M34" s="137">
        <f>SUM(M26:M32)</f>
        <v>0</v>
      </c>
      <c r="N34" s="148"/>
    </row>
    <row r="35" spans="1:14" x14ac:dyDescent="0.35">
      <c r="A35" s="168"/>
      <c r="B35" s="56"/>
      <c r="C35" s="8"/>
      <c r="D35" s="8"/>
      <c r="E35" s="8"/>
      <c r="F35" s="8"/>
      <c r="G35" s="8"/>
      <c r="H35" s="141"/>
      <c r="I35" s="141"/>
      <c r="J35" s="162"/>
      <c r="K35" s="141"/>
      <c r="L35" s="141"/>
      <c r="M35" s="141"/>
      <c r="N35" s="148"/>
    </row>
    <row r="36" spans="1:14" ht="15" customHeight="1" x14ac:dyDescent="0.35">
      <c r="A36" s="475" t="s">
        <v>40</v>
      </c>
      <c r="B36" s="57">
        <v>49</v>
      </c>
      <c r="C36" s="35" t="s">
        <v>14</v>
      </c>
      <c r="D36" s="35" t="s">
        <v>201</v>
      </c>
      <c r="E36" s="40"/>
      <c r="F36" s="160" t="s">
        <v>206</v>
      </c>
      <c r="G36" s="161" t="s">
        <v>16</v>
      </c>
      <c r="H36" s="103" t="s">
        <v>492</v>
      </c>
      <c r="I36" s="68" t="s">
        <v>4</v>
      </c>
      <c r="J36" s="95">
        <f>(5.03+5.654)*0.72</f>
        <v>7.6924800000000007</v>
      </c>
      <c r="K36" s="312">
        <v>0</v>
      </c>
      <c r="L36" s="69">
        <f>K36*J36</f>
        <v>0</v>
      </c>
      <c r="M36" s="312">
        <v>0</v>
      </c>
      <c r="N36" s="148"/>
    </row>
    <row r="37" spans="1:14" ht="15" customHeight="1" x14ac:dyDescent="0.35">
      <c r="A37" s="475"/>
      <c r="B37" s="249"/>
      <c r="C37" s="259"/>
      <c r="D37" s="259"/>
      <c r="E37" s="251"/>
      <c r="F37" s="241"/>
      <c r="G37" s="161"/>
      <c r="H37" s="103" t="s">
        <v>487</v>
      </c>
      <c r="I37" s="68" t="s">
        <v>4</v>
      </c>
      <c r="J37" s="95">
        <f>0.634*4+3*2*1.8*0.9</f>
        <v>12.256</v>
      </c>
      <c r="K37" s="312">
        <v>0</v>
      </c>
      <c r="L37" s="69">
        <f>K37*J37</f>
        <v>0</v>
      </c>
      <c r="M37" s="312">
        <v>0</v>
      </c>
      <c r="N37" s="148"/>
    </row>
    <row r="38" spans="1:14" ht="15" customHeight="1" x14ac:dyDescent="0.35">
      <c r="A38" s="475"/>
      <c r="B38" s="249"/>
      <c r="C38" s="259"/>
      <c r="D38" s="259"/>
      <c r="E38" s="251"/>
      <c r="F38" s="241"/>
      <c r="G38" s="161"/>
      <c r="H38" s="103" t="s">
        <v>499</v>
      </c>
      <c r="I38" s="68" t="s">
        <v>4</v>
      </c>
      <c r="J38" s="95">
        <f>2*2*1.4*2.8</f>
        <v>15.679999999999998</v>
      </c>
      <c r="K38" s="312">
        <v>0</v>
      </c>
      <c r="L38" s="69">
        <f>K38*J38</f>
        <v>0</v>
      </c>
      <c r="M38" s="312">
        <v>0</v>
      </c>
      <c r="N38" s="148" t="s">
        <v>518</v>
      </c>
    </row>
    <row r="39" spans="1:14" ht="15" customHeight="1" x14ac:dyDescent="0.35">
      <c r="A39" s="470"/>
      <c r="B39" s="249"/>
      <c r="C39" s="251"/>
      <c r="D39" s="251"/>
      <c r="E39" s="251"/>
      <c r="F39" s="217"/>
      <c r="G39" s="161"/>
      <c r="H39" s="103"/>
      <c r="I39" s="68"/>
      <c r="J39" s="95"/>
      <c r="K39" s="69"/>
      <c r="L39" s="69"/>
      <c r="M39" s="69"/>
      <c r="N39" s="148"/>
    </row>
    <row r="40" spans="1:14" ht="15" customHeight="1" x14ac:dyDescent="0.35">
      <c r="A40" s="470"/>
      <c r="B40" s="56"/>
      <c r="C40" s="8"/>
      <c r="D40" s="8"/>
      <c r="E40" s="8"/>
      <c r="F40" s="13"/>
      <c r="G40" s="161" t="s">
        <v>18</v>
      </c>
      <c r="H40" s="103" t="s">
        <v>378</v>
      </c>
      <c r="I40" s="68" t="s">
        <v>4</v>
      </c>
      <c r="J40" s="95">
        <f>J38+J36</f>
        <v>23.372479999999999</v>
      </c>
      <c r="K40" s="312">
        <v>0</v>
      </c>
      <c r="L40" s="69">
        <f>K40*J40</f>
        <v>0</v>
      </c>
      <c r="M40" s="312">
        <v>0</v>
      </c>
      <c r="N40" s="148" t="s">
        <v>519</v>
      </c>
    </row>
    <row r="41" spans="1:14" ht="15" customHeight="1" x14ac:dyDescent="0.35">
      <c r="A41" s="470"/>
      <c r="B41" s="56"/>
      <c r="C41" s="8"/>
      <c r="D41" s="8"/>
      <c r="E41" s="8"/>
      <c r="F41" s="13"/>
      <c r="G41" s="13"/>
      <c r="H41" s="103"/>
      <c r="I41" s="68"/>
      <c r="J41" s="95"/>
      <c r="K41" s="69"/>
      <c r="L41" s="69"/>
      <c r="M41" s="69"/>
      <c r="N41" s="148"/>
    </row>
    <row r="42" spans="1:14" ht="15.5" x14ac:dyDescent="0.35">
      <c r="A42" s="470"/>
      <c r="B42" s="76"/>
      <c r="C42" s="77"/>
      <c r="D42" s="77"/>
      <c r="E42" s="77"/>
      <c r="F42" s="30"/>
      <c r="G42" s="31"/>
      <c r="H42" s="32" t="s">
        <v>459</v>
      </c>
      <c r="I42" s="33"/>
      <c r="J42" s="98"/>
      <c r="K42" s="34"/>
      <c r="L42" s="137">
        <f>SUM(L36:L40)</f>
        <v>0</v>
      </c>
      <c r="M42" s="137">
        <f>SUM(M36:M40)</f>
        <v>0</v>
      </c>
      <c r="N42" s="148"/>
    </row>
    <row r="43" spans="1:14" x14ac:dyDescent="0.35">
      <c r="A43" s="470"/>
      <c r="B43" s="56"/>
      <c r="C43" s="8"/>
      <c r="D43" s="8"/>
      <c r="E43" s="8"/>
      <c r="F43" s="8"/>
      <c r="G43" s="8"/>
      <c r="H43" s="141"/>
      <c r="I43" s="141"/>
      <c r="J43" s="162"/>
      <c r="K43" s="141"/>
      <c r="L43" s="141"/>
      <c r="M43" s="141"/>
      <c r="N43" s="148"/>
    </row>
    <row r="44" spans="1:14" ht="18.5" x14ac:dyDescent="0.35">
      <c r="A44" s="470"/>
      <c r="B44" s="57">
        <v>50</v>
      </c>
      <c r="C44" s="35" t="s">
        <v>14</v>
      </c>
      <c r="D44" s="35" t="s">
        <v>202</v>
      </c>
      <c r="E44" s="40"/>
      <c r="F44" s="160" t="s">
        <v>207</v>
      </c>
      <c r="G44" s="161" t="s">
        <v>16</v>
      </c>
      <c r="H44" s="103" t="s">
        <v>503</v>
      </c>
      <c r="I44" s="68" t="s">
        <v>4</v>
      </c>
      <c r="J44" s="95">
        <f>(0.94*2.635+0.64*2.635+0.85*3.06+1.805*0.415+9.6*0.6)*2</f>
        <v>26.546749999999999</v>
      </c>
      <c r="K44" s="312">
        <v>0</v>
      </c>
      <c r="L44" s="69">
        <f>K44*J44</f>
        <v>0</v>
      </c>
      <c r="M44" s="312">
        <v>0</v>
      </c>
      <c r="N44" s="148" t="s">
        <v>436</v>
      </c>
    </row>
    <row r="45" spans="1:14" ht="18.5" x14ac:dyDescent="0.35">
      <c r="A45" s="470"/>
      <c r="B45" s="56"/>
      <c r="C45" s="20"/>
      <c r="D45" s="20"/>
      <c r="E45" s="8"/>
      <c r="F45" s="13"/>
      <c r="G45" s="161"/>
      <c r="H45" s="103"/>
      <c r="I45" s="68"/>
      <c r="J45" s="95"/>
      <c r="K45" s="69"/>
      <c r="L45" s="69"/>
      <c r="M45" s="69"/>
      <c r="N45" s="148"/>
    </row>
    <row r="46" spans="1:14" x14ac:dyDescent="0.35">
      <c r="A46" s="470"/>
      <c r="B46" s="56"/>
      <c r="C46" s="8"/>
      <c r="D46" s="8"/>
      <c r="E46" s="8"/>
      <c r="F46" s="13"/>
      <c r="G46" s="161" t="s">
        <v>17</v>
      </c>
      <c r="H46" s="103" t="s">
        <v>504</v>
      </c>
      <c r="I46" s="68" t="s">
        <v>6</v>
      </c>
      <c r="J46" s="95">
        <f>4*3+9</f>
        <v>21</v>
      </c>
      <c r="K46" s="312">
        <v>0</v>
      </c>
      <c r="L46" s="69">
        <f>K46*J46</f>
        <v>0</v>
      </c>
      <c r="M46" s="312">
        <v>0</v>
      </c>
      <c r="N46" s="148"/>
    </row>
    <row r="47" spans="1:14" x14ac:dyDescent="0.35">
      <c r="A47" s="470"/>
      <c r="B47" s="56"/>
      <c r="C47" s="8"/>
      <c r="D47" s="8"/>
      <c r="E47" s="8"/>
      <c r="F47" s="13"/>
      <c r="G47" s="161"/>
      <c r="H47" s="103"/>
      <c r="I47" s="68"/>
      <c r="J47" s="95"/>
      <c r="K47" s="69"/>
      <c r="L47" s="69"/>
      <c r="M47" s="69"/>
      <c r="N47" s="148"/>
    </row>
    <row r="48" spans="1:14" x14ac:dyDescent="0.35">
      <c r="A48" s="470"/>
      <c r="B48" s="56"/>
      <c r="C48" s="8"/>
      <c r="D48" s="8"/>
      <c r="E48" s="8"/>
      <c r="F48" s="13"/>
      <c r="G48" s="161" t="s">
        <v>18</v>
      </c>
      <c r="H48" s="103" t="s">
        <v>149</v>
      </c>
      <c r="I48" s="68" t="s">
        <v>4</v>
      </c>
      <c r="J48" s="95">
        <f>J44</f>
        <v>26.546749999999999</v>
      </c>
      <c r="K48" s="312">
        <v>0</v>
      </c>
      <c r="L48" s="69">
        <f>K48*J48</f>
        <v>0</v>
      </c>
      <c r="M48" s="312">
        <v>0</v>
      </c>
      <c r="N48" s="148"/>
    </row>
    <row r="49" spans="1:14" x14ac:dyDescent="0.35">
      <c r="A49" s="470"/>
      <c r="B49" s="56"/>
      <c r="C49" s="8"/>
      <c r="D49" s="8"/>
      <c r="E49" s="8"/>
      <c r="F49" s="13"/>
      <c r="G49" s="13"/>
      <c r="H49" s="103"/>
      <c r="I49" s="68"/>
      <c r="J49" s="95"/>
      <c r="K49" s="69"/>
      <c r="L49" s="69"/>
      <c r="M49" s="69"/>
      <c r="N49" s="148"/>
    </row>
    <row r="50" spans="1:14" ht="15.5" x14ac:dyDescent="0.35">
      <c r="A50" s="470"/>
      <c r="B50" s="76"/>
      <c r="C50" s="77"/>
      <c r="D50" s="77"/>
      <c r="E50" s="77"/>
      <c r="F50" s="30"/>
      <c r="G50" s="31"/>
      <c r="H50" s="32" t="s">
        <v>459</v>
      </c>
      <c r="I50" s="33"/>
      <c r="J50" s="98"/>
      <c r="K50" s="34"/>
      <c r="L50" s="137">
        <f>SUM(L44:L48)</f>
        <v>0</v>
      </c>
      <c r="M50" s="137">
        <f>SUM(M44:M48)</f>
        <v>0</v>
      </c>
      <c r="N50" s="148"/>
    </row>
    <row r="51" spans="1:14" x14ac:dyDescent="0.35">
      <c r="A51" s="470"/>
      <c r="B51" s="56"/>
      <c r="C51" s="8"/>
      <c r="D51" s="8"/>
      <c r="E51" s="8"/>
      <c r="F51" s="8"/>
      <c r="G51" s="8"/>
      <c r="H51" s="141"/>
      <c r="I51" s="141"/>
      <c r="J51" s="162"/>
      <c r="K51" s="141"/>
      <c r="L51" s="141"/>
      <c r="M51" s="141"/>
      <c r="N51" s="148"/>
    </row>
    <row r="52" spans="1:14" ht="18.5" x14ac:dyDescent="0.35">
      <c r="A52" s="470"/>
      <c r="B52" s="57">
        <v>51</v>
      </c>
      <c r="C52" s="35" t="s">
        <v>14</v>
      </c>
      <c r="D52" s="35" t="s">
        <v>208</v>
      </c>
      <c r="E52" s="40"/>
      <c r="F52" s="160" t="s">
        <v>207</v>
      </c>
      <c r="G52" s="161" t="s">
        <v>16</v>
      </c>
      <c r="H52" s="103" t="s">
        <v>503</v>
      </c>
      <c r="I52" s="68" t="s">
        <v>4</v>
      </c>
      <c r="J52" s="95">
        <f>(0.94*2.635+0.64*2.635+0.85*3.06+1.805*0.665+9.6*0.6)*2</f>
        <v>27.449249999999999</v>
      </c>
      <c r="K52" s="312">
        <v>0</v>
      </c>
      <c r="L52" s="69">
        <f>K52*J52</f>
        <v>0</v>
      </c>
      <c r="M52" s="312">
        <v>0</v>
      </c>
      <c r="N52" s="148"/>
    </row>
    <row r="53" spans="1:14" ht="18.5" x14ac:dyDescent="0.35">
      <c r="A53" s="470"/>
      <c r="B53" s="56"/>
      <c r="C53" s="20"/>
      <c r="D53" s="20"/>
      <c r="E53" s="8"/>
      <c r="F53" s="13"/>
      <c r="G53" s="161"/>
      <c r="H53" s="103"/>
      <c r="I53" s="68"/>
      <c r="J53" s="95"/>
      <c r="K53" s="69"/>
      <c r="L53" s="69"/>
      <c r="M53" s="69"/>
      <c r="N53" s="148"/>
    </row>
    <row r="54" spans="1:14" ht="29" x14ac:dyDescent="0.35">
      <c r="A54" s="470"/>
      <c r="B54" s="56"/>
      <c r="C54" s="8"/>
      <c r="D54" s="8"/>
      <c r="E54" s="8"/>
      <c r="F54" s="13"/>
      <c r="G54" s="161" t="s">
        <v>17</v>
      </c>
      <c r="H54" s="103" t="s">
        <v>504</v>
      </c>
      <c r="I54" s="68" t="s">
        <v>6</v>
      </c>
      <c r="J54" s="95">
        <f>4*3+9</f>
        <v>21</v>
      </c>
      <c r="K54" s="312">
        <v>0</v>
      </c>
      <c r="L54" s="69">
        <f>K54*J54</f>
        <v>0</v>
      </c>
      <c r="M54" s="312">
        <v>0</v>
      </c>
      <c r="N54" s="223" t="s">
        <v>683</v>
      </c>
    </row>
    <row r="55" spans="1:14" x14ac:dyDescent="0.35">
      <c r="A55" s="470"/>
      <c r="B55" s="56"/>
      <c r="C55" s="8"/>
      <c r="D55" s="8"/>
      <c r="E55" s="8"/>
      <c r="F55" s="13"/>
      <c r="G55" s="161"/>
      <c r="H55" s="103"/>
      <c r="I55" s="68"/>
      <c r="J55" s="95"/>
      <c r="K55" s="69"/>
      <c r="L55" s="69"/>
      <c r="M55" s="69"/>
      <c r="N55" s="148"/>
    </row>
    <row r="56" spans="1:14" x14ac:dyDescent="0.35">
      <c r="A56" s="470"/>
      <c r="B56" s="56"/>
      <c r="C56" s="8"/>
      <c r="D56" s="8"/>
      <c r="E56" s="8"/>
      <c r="F56" s="13"/>
      <c r="G56" s="161" t="s">
        <v>18</v>
      </c>
      <c r="H56" s="103" t="s">
        <v>149</v>
      </c>
      <c r="I56" s="68" t="s">
        <v>4</v>
      </c>
      <c r="J56" s="95">
        <f>J52</f>
        <v>27.449249999999999</v>
      </c>
      <c r="K56" s="312">
        <v>0</v>
      </c>
      <c r="L56" s="69">
        <f>K56*J56</f>
        <v>0</v>
      </c>
      <c r="M56" s="312">
        <v>0</v>
      </c>
      <c r="N56" s="148" t="s">
        <v>519</v>
      </c>
    </row>
    <row r="57" spans="1:14" x14ac:dyDescent="0.35">
      <c r="A57" s="470"/>
      <c r="B57" s="56"/>
      <c r="C57" s="8"/>
      <c r="D57" s="8"/>
      <c r="E57" s="8"/>
      <c r="F57" s="13"/>
      <c r="G57" s="13"/>
      <c r="H57" s="103"/>
      <c r="I57" s="68"/>
      <c r="J57" s="95"/>
      <c r="K57" s="69"/>
      <c r="L57" s="69"/>
      <c r="M57" s="69"/>
      <c r="N57" s="148"/>
    </row>
    <row r="58" spans="1:14" ht="15.5" x14ac:dyDescent="0.35">
      <c r="A58" s="470"/>
      <c r="B58" s="76"/>
      <c r="C58" s="77"/>
      <c r="D58" s="77"/>
      <c r="E58" s="77"/>
      <c r="F58" s="30"/>
      <c r="G58" s="31"/>
      <c r="H58" s="32" t="s">
        <v>459</v>
      </c>
      <c r="I58" s="33"/>
      <c r="J58" s="98"/>
      <c r="K58" s="34"/>
      <c r="L58" s="137">
        <f>SUM(L52:L56)</f>
        <v>0</v>
      </c>
      <c r="M58" s="137">
        <f>SUM(M52:M56)</f>
        <v>0</v>
      </c>
      <c r="N58" s="148"/>
    </row>
    <row r="59" spans="1:14" ht="18.75" customHeight="1" x14ac:dyDescent="0.35">
      <c r="A59" s="470"/>
      <c r="B59" s="56"/>
      <c r="C59" s="20"/>
      <c r="D59" s="20"/>
      <c r="E59" s="8"/>
      <c r="F59" s="13"/>
      <c r="G59" s="13"/>
      <c r="H59" s="141"/>
      <c r="I59" s="68"/>
      <c r="J59" s="95"/>
      <c r="K59" s="69"/>
      <c r="L59" s="69"/>
      <c r="M59" s="69"/>
      <c r="N59" s="148"/>
    </row>
    <row r="60" spans="1:14" ht="30.75" customHeight="1" x14ac:dyDescent="0.35">
      <c r="A60" s="470"/>
      <c r="B60" s="57">
        <v>52</v>
      </c>
      <c r="C60" s="35" t="s">
        <v>14</v>
      </c>
      <c r="D60" s="35" t="s">
        <v>209</v>
      </c>
      <c r="E60" s="40"/>
      <c r="F60" s="160" t="s">
        <v>210</v>
      </c>
      <c r="G60" s="161" t="s">
        <v>211</v>
      </c>
      <c r="H60" s="88" t="s">
        <v>505</v>
      </c>
      <c r="I60" s="68" t="s">
        <v>6</v>
      </c>
      <c r="J60" s="95">
        <v>1</v>
      </c>
      <c r="K60" s="312">
        <v>0</v>
      </c>
      <c r="L60" s="69">
        <f>K60*J60</f>
        <v>0</v>
      </c>
      <c r="M60" s="312">
        <v>0</v>
      </c>
      <c r="N60" s="148"/>
    </row>
    <row r="61" spans="1:14" x14ac:dyDescent="0.35">
      <c r="A61" s="470"/>
      <c r="B61" s="56"/>
      <c r="C61" s="8"/>
      <c r="D61" s="8"/>
      <c r="E61" s="8"/>
      <c r="F61" s="13"/>
      <c r="G61" s="13"/>
      <c r="H61" s="103"/>
      <c r="I61" s="68"/>
      <c r="J61" s="95"/>
      <c r="K61" s="69"/>
      <c r="L61" s="69"/>
      <c r="M61" s="69"/>
      <c r="N61" s="148"/>
    </row>
    <row r="62" spans="1:14" ht="15.5" x14ac:dyDescent="0.35">
      <c r="A62" s="470"/>
      <c r="B62" s="76"/>
      <c r="C62" s="77"/>
      <c r="D62" s="77"/>
      <c r="E62" s="77"/>
      <c r="F62" s="30"/>
      <c r="G62" s="31"/>
      <c r="H62" s="32" t="s">
        <v>459</v>
      </c>
      <c r="I62" s="33"/>
      <c r="J62" s="98"/>
      <c r="K62" s="34"/>
      <c r="L62" s="137">
        <f>SUM(L60:L60)</f>
        <v>0</v>
      </c>
      <c r="M62" s="137">
        <f>SUM(M60:M60)</f>
        <v>0</v>
      </c>
      <c r="N62" s="148"/>
    </row>
    <row r="63" spans="1:14" ht="15.5" x14ac:dyDescent="0.35">
      <c r="A63" s="470"/>
      <c r="B63" s="56"/>
      <c r="C63" s="8"/>
      <c r="D63" s="8"/>
      <c r="E63" s="8"/>
      <c r="F63" s="25"/>
      <c r="G63" s="64"/>
      <c r="H63" s="65"/>
      <c r="I63" s="66"/>
      <c r="J63" s="102"/>
      <c r="K63" s="67"/>
      <c r="L63" s="170"/>
      <c r="M63" s="170"/>
      <c r="N63" s="148"/>
    </row>
    <row r="64" spans="1:14" ht="18.5" x14ac:dyDescent="0.35">
      <c r="A64" s="470"/>
      <c r="B64" s="57">
        <v>53</v>
      </c>
      <c r="C64" s="35" t="s">
        <v>14</v>
      </c>
      <c r="D64" s="35" t="s">
        <v>212</v>
      </c>
      <c r="E64" s="40"/>
      <c r="F64" s="160" t="s">
        <v>406</v>
      </c>
      <c r="G64" s="161" t="s">
        <v>17</v>
      </c>
      <c r="H64" s="103" t="s">
        <v>506</v>
      </c>
      <c r="I64" s="68" t="s">
        <v>4</v>
      </c>
      <c r="J64" s="95">
        <f>2*0.3</f>
        <v>0.6</v>
      </c>
      <c r="K64" s="312">
        <v>0</v>
      </c>
      <c r="L64" s="220">
        <f>K64*J64</f>
        <v>0</v>
      </c>
      <c r="M64" s="312">
        <v>0</v>
      </c>
      <c r="N64" s="148"/>
    </row>
    <row r="65" spans="1:14" ht="18.5" x14ac:dyDescent="0.35">
      <c r="A65" s="470"/>
      <c r="B65" s="56"/>
      <c r="C65" s="20"/>
      <c r="D65" s="20"/>
      <c r="E65" s="8"/>
      <c r="F65" s="13"/>
      <c r="G65" s="161"/>
      <c r="H65" s="103" t="s">
        <v>507</v>
      </c>
      <c r="I65" s="68" t="s">
        <v>5</v>
      </c>
      <c r="J65" s="95">
        <f>2*2*11*1.5</f>
        <v>66</v>
      </c>
      <c r="K65" s="312">
        <v>0</v>
      </c>
      <c r="L65" s="69">
        <f>K65*J65</f>
        <v>0</v>
      </c>
      <c r="M65" s="312">
        <v>0</v>
      </c>
      <c r="N65" s="148"/>
    </row>
    <row r="66" spans="1:14" x14ac:dyDescent="0.35">
      <c r="A66" s="470"/>
      <c r="B66" s="56"/>
      <c r="C66" s="8"/>
      <c r="D66" s="8"/>
      <c r="E66" s="8"/>
      <c r="F66" s="13"/>
      <c r="G66" s="161"/>
      <c r="H66" s="103"/>
      <c r="I66" s="68"/>
      <c r="J66" s="95"/>
      <c r="K66" s="69"/>
      <c r="L66" s="69"/>
      <c r="M66" s="69"/>
      <c r="N66" s="148"/>
    </row>
    <row r="67" spans="1:14" x14ac:dyDescent="0.35">
      <c r="A67" s="470"/>
      <c r="B67" s="56"/>
      <c r="C67" s="8"/>
      <c r="D67" s="8"/>
      <c r="E67" s="8"/>
      <c r="F67" s="13"/>
      <c r="G67" s="161" t="s">
        <v>18</v>
      </c>
      <c r="H67" s="103" t="s">
        <v>149</v>
      </c>
      <c r="I67" s="68" t="s">
        <v>4</v>
      </c>
      <c r="J67" s="95">
        <f>J64*2</f>
        <v>1.2</v>
      </c>
      <c r="K67" s="312">
        <v>0</v>
      </c>
      <c r="L67" s="69">
        <f>K67*J67</f>
        <v>0</v>
      </c>
      <c r="M67" s="312">
        <v>0</v>
      </c>
      <c r="N67" s="148" t="s">
        <v>519</v>
      </c>
    </row>
    <row r="68" spans="1:14" x14ac:dyDescent="0.35">
      <c r="A68" s="470"/>
      <c r="B68" s="56"/>
      <c r="C68" s="8"/>
      <c r="D68" s="8"/>
      <c r="E68" s="8"/>
      <c r="F68" s="13"/>
      <c r="G68" s="161"/>
      <c r="H68" s="103"/>
      <c r="I68" s="68"/>
      <c r="J68" s="95"/>
      <c r="K68" s="69"/>
      <c r="L68" s="69"/>
      <c r="M68" s="69"/>
      <c r="N68" s="148"/>
    </row>
    <row r="69" spans="1:14" ht="29" x14ac:dyDescent="0.35">
      <c r="A69" s="470"/>
      <c r="B69" s="56"/>
      <c r="C69" s="8"/>
      <c r="D69" s="8"/>
      <c r="E69" s="8"/>
      <c r="F69" s="13"/>
      <c r="G69" s="161" t="s">
        <v>19</v>
      </c>
      <c r="H69" s="88" t="s">
        <v>508</v>
      </c>
      <c r="I69" s="68" t="s">
        <v>6</v>
      </c>
      <c r="J69" s="95">
        <f>2*11</f>
        <v>22</v>
      </c>
      <c r="K69" s="312">
        <v>0</v>
      </c>
      <c r="L69" s="69">
        <f>K69*J69</f>
        <v>0</v>
      </c>
      <c r="M69" s="312">
        <v>0</v>
      </c>
      <c r="N69" s="148"/>
    </row>
    <row r="70" spans="1:14" x14ac:dyDescent="0.35">
      <c r="A70" s="470"/>
      <c r="B70" s="56"/>
      <c r="C70" s="8"/>
      <c r="D70" s="8"/>
      <c r="E70" s="8"/>
      <c r="F70" s="13"/>
      <c r="G70" s="13"/>
      <c r="H70" s="103"/>
      <c r="I70" s="68"/>
      <c r="J70" s="95"/>
      <c r="K70" s="69"/>
      <c r="L70" s="69"/>
      <c r="M70" s="69"/>
      <c r="N70" s="148"/>
    </row>
    <row r="71" spans="1:14" ht="15.5" x14ac:dyDescent="0.35">
      <c r="A71" s="470"/>
      <c r="B71" s="76"/>
      <c r="C71" s="77"/>
      <c r="D71" s="77"/>
      <c r="E71" s="77"/>
      <c r="F71" s="30"/>
      <c r="G71" s="31"/>
      <c r="H71" s="32" t="s">
        <v>459</v>
      </c>
      <c r="I71" s="33"/>
      <c r="J71" s="98"/>
      <c r="K71" s="34"/>
      <c r="L71" s="137">
        <f>SUM(L64:L69)</f>
        <v>0</v>
      </c>
      <c r="M71" s="137">
        <f>SUM(M64:M69)</f>
        <v>0</v>
      </c>
      <c r="N71" s="148"/>
    </row>
    <row r="72" spans="1:14" x14ac:dyDescent="0.35">
      <c r="A72" s="470"/>
      <c r="B72" s="56"/>
      <c r="C72" s="8"/>
      <c r="D72" s="8"/>
      <c r="E72" s="8"/>
      <c r="F72" s="28"/>
      <c r="G72" s="28"/>
      <c r="H72" s="29"/>
      <c r="I72" s="29"/>
      <c r="J72" s="97"/>
      <c r="K72" s="29"/>
      <c r="L72" s="29"/>
      <c r="M72" s="29"/>
      <c r="N72" s="148"/>
    </row>
    <row r="73" spans="1:14" ht="18.5" x14ac:dyDescent="0.35">
      <c r="A73" s="470"/>
      <c r="B73" s="57">
        <v>54</v>
      </c>
      <c r="C73" s="35" t="s">
        <v>14</v>
      </c>
      <c r="D73" s="35" t="s">
        <v>213</v>
      </c>
      <c r="E73" s="40"/>
      <c r="F73" s="160" t="s">
        <v>137</v>
      </c>
      <c r="G73" s="161" t="s">
        <v>138</v>
      </c>
      <c r="H73" s="213" t="s">
        <v>681</v>
      </c>
      <c r="I73" s="68" t="s">
        <v>6</v>
      </c>
      <c r="J73" s="95">
        <v>7</v>
      </c>
      <c r="K73" s="312">
        <v>0</v>
      </c>
      <c r="L73" s="69">
        <f>K73*J73</f>
        <v>0</v>
      </c>
      <c r="M73" s="312">
        <v>0</v>
      </c>
      <c r="N73" s="148"/>
    </row>
    <row r="74" spans="1:14" x14ac:dyDescent="0.35">
      <c r="A74" s="470"/>
      <c r="B74" s="56"/>
      <c r="C74" s="8"/>
      <c r="D74" s="8"/>
      <c r="E74" s="8"/>
      <c r="F74" s="13"/>
      <c r="G74" s="13"/>
      <c r="H74" s="103"/>
      <c r="I74" s="68"/>
      <c r="J74" s="95"/>
      <c r="K74" s="69"/>
      <c r="L74" s="69"/>
      <c r="M74" s="69"/>
      <c r="N74" s="148"/>
    </row>
    <row r="75" spans="1:14" ht="15.5" x14ac:dyDescent="0.35">
      <c r="A75" s="470"/>
      <c r="B75" s="76"/>
      <c r="C75" s="77"/>
      <c r="D75" s="77"/>
      <c r="E75" s="77"/>
      <c r="F75" s="30"/>
      <c r="G75" s="31"/>
      <c r="H75" s="32" t="s">
        <v>459</v>
      </c>
      <c r="I75" s="33"/>
      <c r="J75" s="98"/>
      <c r="K75" s="34"/>
      <c r="L75" s="137">
        <f>SUM(L73:L73)</f>
        <v>0</v>
      </c>
      <c r="M75" s="137">
        <f>SUM(M73:M73)</f>
        <v>0</v>
      </c>
      <c r="N75" s="148"/>
    </row>
    <row r="76" spans="1:14" ht="15.5" x14ac:dyDescent="0.35">
      <c r="A76" s="470"/>
      <c r="B76" s="56"/>
      <c r="C76" s="8"/>
      <c r="D76" s="8"/>
      <c r="E76" s="8"/>
      <c r="F76" s="25"/>
      <c r="G76" s="64"/>
      <c r="H76" s="65"/>
      <c r="I76" s="66"/>
      <c r="J76" s="102"/>
      <c r="K76" s="67"/>
      <c r="L76" s="170"/>
      <c r="M76" s="170"/>
      <c r="N76" s="148"/>
    </row>
    <row r="77" spans="1:14" ht="30" customHeight="1" x14ac:dyDescent="0.35">
      <c r="A77" s="470"/>
      <c r="B77" s="57">
        <v>55</v>
      </c>
      <c r="C77" s="35" t="s">
        <v>14</v>
      </c>
      <c r="D77" s="35" t="s">
        <v>214</v>
      </c>
      <c r="E77" s="40"/>
      <c r="F77" s="160" t="s">
        <v>510</v>
      </c>
      <c r="G77" s="161" t="s">
        <v>205</v>
      </c>
      <c r="H77" s="88" t="s">
        <v>509</v>
      </c>
      <c r="I77" s="68" t="s">
        <v>4</v>
      </c>
      <c r="J77" s="95">
        <f>62.5</f>
        <v>62.5</v>
      </c>
      <c r="K77" s="312">
        <v>0</v>
      </c>
      <c r="L77" s="220">
        <f>K77*J77</f>
        <v>0</v>
      </c>
      <c r="M77" s="220"/>
      <c r="N77" s="148" t="s">
        <v>710</v>
      </c>
    </row>
    <row r="78" spans="1:14" x14ac:dyDescent="0.35">
      <c r="A78" s="470"/>
      <c r="B78" s="56"/>
      <c r="C78" s="8"/>
      <c r="D78" s="8"/>
      <c r="E78" s="8"/>
      <c r="F78" s="13"/>
      <c r="G78" s="13"/>
      <c r="H78" s="103"/>
      <c r="I78" s="68"/>
      <c r="J78" s="95"/>
      <c r="K78" s="69"/>
      <c r="L78" s="69"/>
      <c r="M78" s="69"/>
      <c r="N78" s="148"/>
    </row>
    <row r="79" spans="1:14" ht="15.5" x14ac:dyDescent="0.35">
      <c r="A79" s="470"/>
      <c r="B79" s="76"/>
      <c r="C79" s="77"/>
      <c r="D79" s="77"/>
      <c r="E79" s="77"/>
      <c r="F79" s="30"/>
      <c r="G79" s="31"/>
      <c r="H79" s="32" t="s">
        <v>459</v>
      </c>
      <c r="I79" s="33"/>
      <c r="J79" s="98"/>
      <c r="K79" s="34"/>
      <c r="L79" s="137">
        <f>SUM(L77:L77)</f>
        <v>0</v>
      </c>
      <c r="M79" s="137">
        <f>SUM(M77:M77)</f>
        <v>0</v>
      </c>
      <c r="N79" s="148"/>
    </row>
    <row r="80" spans="1:14" ht="15.5" x14ac:dyDescent="0.35">
      <c r="A80" s="470"/>
      <c r="B80" s="56"/>
      <c r="C80" s="8"/>
      <c r="D80" s="8"/>
      <c r="E80" s="8"/>
      <c r="F80" s="25"/>
      <c r="G80" s="64"/>
      <c r="H80" s="65"/>
      <c r="I80" s="66"/>
      <c r="J80" s="102"/>
      <c r="K80" s="67"/>
      <c r="L80" s="170"/>
      <c r="M80" s="170"/>
      <c r="N80" s="148"/>
    </row>
    <row r="81" spans="1:14" ht="101.5" x14ac:dyDescent="0.35">
      <c r="A81" s="470"/>
      <c r="B81" s="57">
        <v>56</v>
      </c>
      <c r="C81" s="35" t="s">
        <v>14</v>
      </c>
      <c r="D81" s="35" t="s">
        <v>216</v>
      </c>
      <c r="E81" s="40"/>
      <c r="F81" s="160" t="s">
        <v>217</v>
      </c>
      <c r="G81" s="216" t="s">
        <v>148</v>
      </c>
      <c r="H81" s="221" t="s">
        <v>511</v>
      </c>
      <c r="I81" s="211" t="s">
        <v>6</v>
      </c>
      <c r="J81" s="212">
        <v>1</v>
      </c>
      <c r="K81" s="312">
        <v>0</v>
      </c>
      <c r="L81" s="220">
        <f>K81*J81</f>
        <v>0</v>
      </c>
      <c r="M81" s="312">
        <v>0</v>
      </c>
      <c r="N81" s="148" t="s">
        <v>520</v>
      </c>
    </row>
    <row r="82" spans="1:14" x14ac:dyDescent="0.35">
      <c r="A82" s="470"/>
      <c r="B82" s="56"/>
      <c r="C82" s="8"/>
      <c r="D82" s="8"/>
      <c r="E82" s="8"/>
      <c r="F82" s="217"/>
      <c r="G82" s="216"/>
      <c r="H82" s="239"/>
      <c r="I82" s="211"/>
      <c r="J82" s="212"/>
      <c r="K82" s="220"/>
      <c r="L82" s="220"/>
      <c r="M82" s="220"/>
      <c r="N82" s="148"/>
    </row>
    <row r="83" spans="1:14" x14ac:dyDescent="0.35">
      <c r="A83" s="470"/>
      <c r="B83" s="56"/>
      <c r="C83" s="8"/>
      <c r="D83" s="8"/>
      <c r="E83" s="8"/>
      <c r="F83" s="217"/>
      <c r="G83" s="216" t="s">
        <v>16</v>
      </c>
      <c r="H83" s="239" t="s">
        <v>512</v>
      </c>
      <c r="I83" s="211" t="s">
        <v>4</v>
      </c>
      <c r="J83" s="212">
        <f>9.6*2.6</f>
        <v>24.96</v>
      </c>
      <c r="K83" s="312">
        <v>0</v>
      </c>
      <c r="L83" s="220">
        <f>K83*J83</f>
        <v>0</v>
      </c>
      <c r="M83" s="312">
        <v>0</v>
      </c>
      <c r="N83" s="148"/>
    </row>
    <row r="84" spans="1:14" s="135" customFormat="1" x14ac:dyDescent="0.35">
      <c r="A84" s="470"/>
      <c r="B84" s="56"/>
      <c r="C84" s="8"/>
      <c r="D84" s="8"/>
      <c r="E84" s="8"/>
      <c r="F84" s="217"/>
      <c r="G84" s="216"/>
      <c r="H84" s="239"/>
      <c r="I84" s="211"/>
      <c r="J84" s="212"/>
      <c r="K84" s="220"/>
      <c r="L84" s="220"/>
      <c r="M84" s="220"/>
      <c r="N84" s="148"/>
    </row>
    <row r="85" spans="1:14" s="135" customFormat="1" x14ac:dyDescent="0.35">
      <c r="A85" s="470"/>
      <c r="B85" s="56"/>
      <c r="C85" s="8"/>
      <c r="D85" s="8"/>
      <c r="E85" s="8"/>
      <c r="F85" s="217"/>
      <c r="G85" s="216" t="s">
        <v>16</v>
      </c>
      <c r="H85" s="239" t="s">
        <v>494</v>
      </c>
      <c r="I85" s="211" t="s">
        <v>4</v>
      </c>
      <c r="J85" s="212">
        <f>0.45*1.6+0.3*(2.45+0.85+0.75+2.4+2)</f>
        <v>3.2550000000000003</v>
      </c>
      <c r="K85" s="312">
        <v>0</v>
      </c>
      <c r="L85" s="220">
        <f>K85*J85</f>
        <v>0</v>
      </c>
      <c r="M85" s="312">
        <v>0</v>
      </c>
      <c r="N85" s="148" t="s">
        <v>450</v>
      </c>
    </row>
    <row r="86" spans="1:14" s="135" customFormat="1" x14ac:dyDescent="0.35">
      <c r="A86" s="470"/>
      <c r="B86" s="56"/>
      <c r="C86" s="8"/>
      <c r="D86" s="8"/>
      <c r="E86" s="8"/>
      <c r="F86" s="217"/>
      <c r="G86" s="216"/>
      <c r="H86" s="239"/>
      <c r="I86" s="211"/>
      <c r="J86" s="212"/>
      <c r="K86" s="220"/>
      <c r="L86" s="220"/>
      <c r="M86" s="220"/>
      <c r="N86" s="148"/>
    </row>
    <row r="87" spans="1:14" s="135" customFormat="1" x14ac:dyDescent="0.35">
      <c r="A87" s="470"/>
      <c r="B87" s="56"/>
      <c r="C87" s="8"/>
      <c r="D87" s="8"/>
      <c r="E87" s="8"/>
      <c r="F87" s="217"/>
      <c r="G87" s="216" t="s">
        <v>18</v>
      </c>
      <c r="H87" s="239" t="s">
        <v>195</v>
      </c>
      <c r="I87" s="211" t="s">
        <v>4</v>
      </c>
      <c r="J87" s="212">
        <f>0.45*1.6+0.3*(2.45+0.85+0.75+2.4+2)</f>
        <v>3.2550000000000003</v>
      </c>
      <c r="K87" s="312">
        <v>0</v>
      </c>
      <c r="L87" s="220">
        <f>K87*J87</f>
        <v>0</v>
      </c>
      <c r="M87" s="312">
        <v>0</v>
      </c>
      <c r="N87" s="148"/>
    </row>
    <row r="88" spans="1:14" s="135" customFormat="1" x14ac:dyDescent="0.35">
      <c r="A88" s="470"/>
      <c r="B88" s="56"/>
      <c r="C88" s="8"/>
      <c r="D88" s="8"/>
      <c r="E88" s="8"/>
      <c r="F88" s="217"/>
      <c r="G88" s="216"/>
      <c r="H88" s="239"/>
      <c r="I88" s="211"/>
      <c r="J88" s="212"/>
      <c r="K88" s="220"/>
      <c r="L88" s="220"/>
      <c r="M88" s="220"/>
      <c r="N88" s="148"/>
    </row>
    <row r="89" spans="1:14" x14ac:dyDescent="0.35">
      <c r="A89" s="470"/>
      <c r="B89" s="56"/>
      <c r="C89" s="8"/>
      <c r="D89" s="8"/>
      <c r="E89" s="8"/>
      <c r="F89" s="217"/>
      <c r="G89" s="217"/>
      <c r="H89" s="239"/>
      <c r="I89" s="211"/>
      <c r="J89" s="212"/>
      <c r="K89" s="220"/>
      <c r="L89" s="220"/>
      <c r="M89" s="220"/>
      <c r="N89" s="148"/>
    </row>
    <row r="90" spans="1:14" ht="15.5" x14ac:dyDescent="0.35">
      <c r="A90" s="470"/>
      <c r="B90" s="76"/>
      <c r="C90" s="77"/>
      <c r="D90" s="77"/>
      <c r="E90" s="77"/>
      <c r="F90" s="262"/>
      <c r="G90" s="255"/>
      <c r="H90" s="234" t="s">
        <v>459</v>
      </c>
      <c r="I90" s="256"/>
      <c r="J90" s="257"/>
      <c r="K90" s="258"/>
      <c r="L90" s="137">
        <f>SUM(L81:L87)</f>
        <v>0</v>
      </c>
      <c r="M90" s="137">
        <f>SUM(M81:M87)</f>
        <v>0</v>
      </c>
      <c r="N90" s="148"/>
    </row>
    <row r="91" spans="1:14" s="134" customFormat="1" ht="15.5" x14ac:dyDescent="0.35">
      <c r="A91" s="470"/>
      <c r="B91" s="249"/>
      <c r="C91" s="251"/>
      <c r="D91" s="251"/>
      <c r="E91" s="251"/>
      <c r="F91" s="265"/>
      <c r="G91" s="279"/>
      <c r="H91" s="280"/>
      <c r="I91" s="281"/>
      <c r="J91" s="282"/>
      <c r="K91" s="283"/>
      <c r="L91" s="170"/>
      <c r="M91" s="170"/>
      <c r="N91" s="148"/>
    </row>
    <row r="92" spans="1:14" s="134" customFormat="1" ht="101.5" x14ac:dyDescent="0.35">
      <c r="A92" s="470"/>
      <c r="B92" s="57">
        <v>57</v>
      </c>
      <c r="C92" s="35" t="s">
        <v>14</v>
      </c>
      <c r="D92" s="35" t="s">
        <v>397</v>
      </c>
      <c r="E92" s="40"/>
      <c r="F92" s="160" t="s">
        <v>217</v>
      </c>
      <c r="G92" s="216" t="s">
        <v>148</v>
      </c>
      <c r="H92" s="221" t="s">
        <v>513</v>
      </c>
      <c r="I92" s="211" t="s">
        <v>6</v>
      </c>
      <c r="J92" s="212">
        <v>1</v>
      </c>
      <c r="K92" s="312">
        <v>0</v>
      </c>
      <c r="L92" s="220">
        <f>K92*J92</f>
        <v>0</v>
      </c>
      <c r="M92" s="312">
        <v>0</v>
      </c>
      <c r="N92" s="148" t="s">
        <v>520</v>
      </c>
    </row>
    <row r="93" spans="1:14" s="134" customFormat="1" x14ac:dyDescent="0.35">
      <c r="A93" s="470"/>
      <c r="B93" s="56"/>
      <c r="C93" s="8"/>
      <c r="D93" s="8"/>
      <c r="E93" s="251"/>
      <c r="F93" s="217"/>
      <c r="G93" s="216"/>
      <c r="H93" s="239"/>
      <c r="I93" s="211"/>
      <c r="J93" s="212"/>
      <c r="K93" s="220"/>
      <c r="L93" s="220"/>
      <c r="M93" s="220"/>
      <c r="N93" s="148"/>
    </row>
    <row r="94" spans="1:14" s="134" customFormat="1" x14ac:dyDescent="0.35">
      <c r="A94" s="470"/>
      <c r="B94" s="56"/>
      <c r="C94" s="8"/>
      <c r="D94" s="8"/>
      <c r="E94" s="251"/>
      <c r="F94" s="217"/>
      <c r="G94" s="216" t="s">
        <v>16</v>
      </c>
      <c r="H94" s="239" t="s">
        <v>514</v>
      </c>
      <c r="I94" s="211" t="s">
        <v>4</v>
      </c>
      <c r="J94" s="212">
        <v>0</v>
      </c>
      <c r="K94" s="312">
        <v>0</v>
      </c>
      <c r="L94" s="220">
        <f>K94*J94</f>
        <v>0</v>
      </c>
      <c r="M94" s="312">
        <v>0</v>
      </c>
      <c r="N94" s="148"/>
    </row>
    <row r="95" spans="1:14" s="134" customFormat="1" x14ac:dyDescent="0.35">
      <c r="A95" s="470"/>
      <c r="B95" s="56"/>
      <c r="C95" s="8"/>
      <c r="D95" s="8"/>
      <c r="E95" s="251"/>
      <c r="F95" s="217"/>
      <c r="G95" s="216"/>
      <c r="H95" s="239"/>
      <c r="I95" s="211"/>
      <c r="J95" s="212"/>
      <c r="K95" s="220"/>
      <c r="L95" s="220"/>
      <c r="M95" s="220"/>
      <c r="N95" s="148"/>
    </row>
    <row r="96" spans="1:14" s="134" customFormat="1" ht="15.5" x14ac:dyDescent="0.35">
      <c r="A96" s="470"/>
      <c r="B96" s="76"/>
      <c r="C96" s="77"/>
      <c r="D96" s="77"/>
      <c r="E96" s="261"/>
      <c r="F96" s="262"/>
      <c r="G96" s="255"/>
      <c r="H96" s="234" t="s">
        <v>459</v>
      </c>
      <c r="I96" s="256"/>
      <c r="J96" s="257"/>
      <c r="K96" s="258"/>
      <c r="L96" s="137">
        <f>SUM(L92:L95)</f>
        <v>0</v>
      </c>
      <c r="M96" s="137">
        <f>SUM(M92:M95)</f>
        <v>0</v>
      </c>
      <c r="N96" s="148"/>
    </row>
    <row r="97" spans="1:14" ht="16" thickBot="1" x14ac:dyDescent="0.4">
      <c r="A97" s="470"/>
      <c r="B97" s="249"/>
      <c r="C97" s="251"/>
      <c r="D97" s="251"/>
      <c r="E97" s="251"/>
      <c r="F97" s="265"/>
      <c r="G97" s="279"/>
      <c r="H97" s="280"/>
      <c r="I97" s="281"/>
      <c r="J97" s="282"/>
      <c r="K97" s="283"/>
      <c r="L97" s="170"/>
      <c r="M97" s="170"/>
      <c r="N97" s="148"/>
    </row>
    <row r="98" spans="1:14" ht="19" thickBot="1" x14ac:dyDescent="0.4">
      <c r="A98" s="470"/>
      <c r="B98" s="453" t="s">
        <v>37</v>
      </c>
      <c r="C98" s="454"/>
      <c r="D98" s="454"/>
      <c r="E98" s="454"/>
      <c r="F98" s="454"/>
      <c r="G98" s="140"/>
      <c r="H98" s="140" t="s">
        <v>459</v>
      </c>
      <c r="I98" s="50"/>
      <c r="J98" s="94"/>
      <c r="K98" s="51"/>
      <c r="L98" s="52">
        <f>L79+L75+L71+L62+L58+L50+L42+L34+L90+L96</f>
        <v>0</v>
      </c>
      <c r="M98" s="53">
        <f>M79+M75+M71+M62+M58+M50+M42+M34+M90+M96</f>
        <v>0</v>
      </c>
      <c r="N98" s="148"/>
    </row>
    <row r="99" spans="1:14" ht="19" thickBot="1" x14ac:dyDescent="0.4">
      <c r="A99" s="471"/>
      <c r="B99" s="58"/>
      <c r="C99" s="21"/>
      <c r="D99" s="21"/>
      <c r="E99" s="14"/>
      <c r="F99" s="15"/>
      <c r="G99" s="15"/>
      <c r="H99" s="16"/>
      <c r="I99" s="17"/>
      <c r="J99" s="96"/>
      <c r="K99" s="22"/>
      <c r="L99" s="23"/>
      <c r="M99" s="24"/>
      <c r="N99" s="148"/>
    </row>
    <row r="100" spans="1:14" ht="18.5" x14ac:dyDescent="0.35">
      <c r="A100" s="469" t="s">
        <v>39</v>
      </c>
      <c r="B100" s="56"/>
      <c r="C100" s="20"/>
      <c r="D100" s="20"/>
      <c r="E100" s="8"/>
      <c r="F100" s="13"/>
      <c r="G100" s="13"/>
      <c r="H100" s="141"/>
      <c r="I100" s="68"/>
      <c r="J100" s="212"/>
      <c r="K100" s="220"/>
      <c r="L100" s="220"/>
      <c r="M100" s="220"/>
      <c r="N100" s="146"/>
    </row>
    <row r="101" spans="1:14" ht="18.5" x14ac:dyDescent="0.35">
      <c r="A101" s="470"/>
      <c r="B101" s="57">
        <v>58</v>
      </c>
      <c r="C101" s="35" t="s">
        <v>38</v>
      </c>
      <c r="D101" s="35" t="s">
        <v>200</v>
      </c>
      <c r="E101" s="40"/>
      <c r="F101" s="160" t="s">
        <v>32</v>
      </c>
      <c r="G101" s="161"/>
      <c r="H101" s="103" t="s">
        <v>42</v>
      </c>
      <c r="I101" s="68" t="s">
        <v>4</v>
      </c>
      <c r="J101" s="212">
        <f>0.75*0.75</f>
        <v>0.5625</v>
      </c>
      <c r="K101" s="312">
        <v>0</v>
      </c>
      <c r="L101" s="220">
        <f>K101*J101</f>
        <v>0</v>
      </c>
      <c r="M101" s="312">
        <v>0</v>
      </c>
      <c r="N101" s="148"/>
    </row>
    <row r="102" spans="1:14" x14ac:dyDescent="0.35">
      <c r="A102" s="470"/>
      <c r="B102" s="56"/>
      <c r="C102" s="8"/>
      <c r="D102" s="8"/>
      <c r="E102" s="8"/>
      <c r="F102" s="13"/>
      <c r="G102" s="13"/>
      <c r="H102" s="103"/>
      <c r="I102" s="68"/>
      <c r="J102" s="212"/>
      <c r="K102" s="220"/>
      <c r="L102" s="220"/>
      <c r="M102" s="220"/>
      <c r="N102" s="148"/>
    </row>
    <row r="103" spans="1:14" ht="15.5" x14ac:dyDescent="0.35">
      <c r="A103" s="470"/>
      <c r="B103" s="76"/>
      <c r="C103" s="77"/>
      <c r="D103" s="77"/>
      <c r="E103" s="77"/>
      <c r="F103" s="30"/>
      <c r="G103" s="31"/>
      <c r="H103" s="32" t="s">
        <v>459</v>
      </c>
      <c r="I103" s="33"/>
      <c r="J103" s="98"/>
      <c r="K103" s="34"/>
      <c r="L103" s="137">
        <f>SUM(L101:L101)</f>
        <v>0</v>
      </c>
      <c r="M103" s="137">
        <f>SUM(M101:M101)</f>
        <v>0</v>
      </c>
      <c r="N103" s="148"/>
    </row>
    <row r="104" spans="1:14" ht="15.5" x14ac:dyDescent="0.35">
      <c r="A104" s="470"/>
      <c r="B104" s="56"/>
      <c r="C104" s="8"/>
      <c r="D104" s="8"/>
      <c r="E104" s="8"/>
      <c r="F104" s="25"/>
      <c r="G104" s="64"/>
      <c r="H104" s="65"/>
      <c r="I104" s="66"/>
      <c r="J104" s="102"/>
      <c r="K104" s="283"/>
      <c r="L104" s="170"/>
      <c r="M104" s="170"/>
      <c r="N104" s="148"/>
    </row>
    <row r="105" spans="1:14" ht="18.5" x14ac:dyDescent="0.35">
      <c r="A105" s="470"/>
      <c r="B105" s="57">
        <v>59</v>
      </c>
      <c r="C105" s="35" t="s">
        <v>38</v>
      </c>
      <c r="D105" s="35" t="s">
        <v>201</v>
      </c>
      <c r="E105" s="40"/>
      <c r="F105" s="160" t="s">
        <v>215</v>
      </c>
      <c r="G105" s="161"/>
      <c r="H105" s="103" t="s">
        <v>528</v>
      </c>
      <c r="I105" s="68" t="s">
        <v>4</v>
      </c>
      <c r="J105" s="95">
        <f>9.6*2.6</f>
        <v>24.96</v>
      </c>
      <c r="K105" s="312">
        <v>0</v>
      </c>
      <c r="L105" s="220">
        <f>K105*J105</f>
        <v>0</v>
      </c>
      <c r="M105" s="312">
        <v>0</v>
      </c>
      <c r="N105" s="148"/>
    </row>
    <row r="106" spans="1:14" x14ac:dyDescent="0.35">
      <c r="A106" s="470"/>
      <c r="B106" s="56"/>
      <c r="C106" s="8"/>
      <c r="D106" s="8"/>
      <c r="E106" s="8"/>
      <c r="F106" s="13"/>
      <c r="G106" s="13"/>
      <c r="H106" s="103"/>
      <c r="I106" s="68"/>
      <c r="J106" s="95"/>
      <c r="K106" s="220"/>
      <c r="L106" s="220"/>
      <c r="M106" s="220"/>
      <c r="N106" s="148"/>
    </row>
    <row r="107" spans="1:14" ht="15.5" x14ac:dyDescent="0.35">
      <c r="A107" s="470"/>
      <c r="B107" s="76"/>
      <c r="C107" s="77"/>
      <c r="D107" s="77"/>
      <c r="E107" s="77"/>
      <c r="F107" s="30"/>
      <c r="G107" s="31"/>
      <c r="H107" s="32" t="s">
        <v>459</v>
      </c>
      <c r="I107" s="33"/>
      <c r="J107" s="98"/>
      <c r="K107" s="34"/>
      <c r="L107" s="137">
        <f>SUM(L105:L105)</f>
        <v>0</v>
      </c>
      <c r="M107" s="137">
        <f>SUM(M105:M105)</f>
        <v>0</v>
      </c>
      <c r="N107" s="148"/>
    </row>
    <row r="108" spans="1:14" ht="15" thickBot="1" x14ac:dyDescent="0.4">
      <c r="A108" s="470"/>
      <c r="B108" s="56"/>
      <c r="C108" s="8"/>
      <c r="D108" s="8"/>
      <c r="E108" s="8"/>
      <c r="F108" s="8"/>
      <c r="G108" s="8"/>
      <c r="H108" s="141"/>
      <c r="I108" s="141"/>
      <c r="J108" s="162"/>
      <c r="K108" s="141"/>
      <c r="L108" s="141"/>
      <c r="M108" s="141"/>
      <c r="N108" s="148"/>
    </row>
    <row r="109" spans="1:14" ht="19" thickBot="1" x14ac:dyDescent="0.4">
      <c r="A109" s="470"/>
      <c r="B109" s="453" t="s">
        <v>43</v>
      </c>
      <c r="C109" s="454"/>
      <c r="D109" s="454"/>
      <c r="E109" s="454"/>
      <c r="F109" s="454"/>
      <c r="G109" s="140"/>
      <c r="H109" s="140" t="s">
        <v>459</v>
      </c>
      <c r="I109" s="50"/>
      <c r="J109" s="94"/>
      <c r="K109" s="51"/>
      <c r="L109" s="52">
        <f>L107+L103</f>
        <v>0</v>
      </c>
      <c r="M109" s="53">
        <f>M107+M103</f>
        <v>0</v>
      </c>
      <c r="N109" s="148"/>
    </row>
    <row r="110" spans="1:14" ht="19" thickBot="1" x14ac:dyDescent="0.4">
      <c r="A110" s="471"/>
      <c r="B110" s="58"/>
      <c r="C110" s="21"/>
      <c r="D110" s="21"/>
      <c r="E110" s="14"/>
      <c r="F110" s="15"/>
      <c r="G110" s="15"/>
      <c r="H110" s="16"/>
      <c r="I110" s="17"/>
      <c r="J110" s="96"/>
      <c r="K110" s="22"/>
      <c r="L110" s="23"/>
      <c r="M110" s="24"/>
      <c r="N110" s="148"/>
    </row>
    <row r="111" spans="1:14" ht="18.5" x14ac:dyDescent="0.35">
      <c r="A111" s="469" t="s">
        <v>46</v>
      </c>
      <c r="B111" s="56"/>
      <c r="C111" s="20"/>
      <c r="D111" s="20"/>
      <c r="E111" s="8"/>
      <c r="F111" s="13"/>
      <c r="G111" s="13"/>
      <c r="H111" s="141"/>
      <c r="I111" s="68"/>
      <c r="J111" s="95"/>
      <c r="K111" s="69"/>
      <c r="L111" s="69"/>
      <c r="M111" s="69"/>
      <c r="N111" s="146"/>
    </row>
    <row r="112" spans="1:14" ht="18.5" x14ac:dyDescent="0.35">
      <c r="A112" s="470"/>
      <c r="B112" s="57">
        <v>60</v>
      </c>
      <c r="C112" s="35" t="s">
        <v>47</v>
      </c>
      <c r="D112" s="35" t="s">
        <v>303</v>
      </c>
      <c r="E112" s="40"/>
      <c r="F112" s="160" t="s">
        <v>50</v>
      </c>
      <c r="G112" s="216" t="s">
        <v>106</v>
      </c>
      <c r="H112" s="319" t="s">
        <v>517</v>
      </c>
      <c r="I112" s="320" t="s">
        <v>6</v>
      </c>
      <c r="J112" s="321">
        <v>2</v>
      </c>
      <c r="K112" s="312">
        <v>0</v>
      </c>
      <c r="L112" s="322">
        <f>K112*J112</f>
        <v>0</v>
      </c>
      <c r="M112" s="317">
        <f>L112*0.05</f>
        <v>0</v>
      </c>
      <c r="N112" s="318"/>
    </row>
    <row r="113" spans="1:14" x14ac:dyDescent="0.35">
      <c r="A113" s="470"/>
      <c r="B113" s="56"/>
      <c r="C113" s="8"/>
      <c r="D113" s="8"/>
      <c r="E113" s="8"/>
      <c r="F113" s="13"/>
      <c r="G113" s="13"/>
      <c r="H113" s="103"/>
      <c r="I113" s="68"/>
      <c r="J113" s="95"/>
      <c r="K113" s="69"/>
      <c r="L113" s="69"/>
      <c r="M113" s="69"/>
      <c r="N113" s="148"/>
    </row>
    <row r="114" spans="1:14" ht="15.5" x14ac:dyDescent="0.35">
      <c r="A114" s="470"/>
      <c r="B114" s="76"/>
      <c r="C114" s="77"/>
      <c r="D114" s="77"/>
      <c r="E114" s="77"/>
      <c r="F114" s="30"/>
      <c r="G114" s="31"/>
      <c r="H114" s="32" t="s">
        <v>459</v>
      </c>
      <c r="I114" s="33"/>
      <c r="J114" s="98"/>
      <c r="K114" s="34"/>
      <c r="L114" s="137">
        <f>SUM(L112:L112)</f>
        <v>0</v>
      </c>
      <c r="M114" s="137">
        <f>SUM(M112:M112)</f>
        <v>0</v>
      </c>
      <c r="N114" s="148"/>
    </row>
    <row r="115" spans="1:14" ht="15.5" x14ac:dyDescent="0.35">
      <c r="A115" s="470"/>
      <c r="B115" s="56"/>
      <c r="C115" s="8"/>
      <c r="D115" s="8"/>
      <c r="E115" s="8"/>
      <c r="F115" s="25"/>
      <c r="G115" s="64"/>
      <c r="H115" s="65"/>
      <c r="I115" s="66"/>
      <c r="J115" s="282"/>
      <c r="K115" s="283"/>
      <c r="L115" s="170"/>
      <c r="M115" s="170"/>
      <c r="N115" s="148"/>
    </row>
    <row r="116" spans="1:14" ht="18.5" x14ac:dyDescent="0.35">
      <c r="A116" s="470"/>
      <c r="B116" s="57">
        <v>61</v>
      </c>
      <c r="C116" s="35" t="s">
        <v>47</v>
      </c>
      <c r="D116" s="35" t="s">
        <v>304</v>
      </c>
      <c r="E116" s="40"/>
      <c r="F116" s="160" t="s">
        <v>50</v>
      </c>
      <c r="G116" s="161" t="s">
        <v>219</v>
      </c>
      <c r="H116" s="103" t="s">
        <v>515</v>
      </c>
      <c r="I116" s="68" t="s">
        <v>6</v>
      </c>
      <c r="J116" s="212">
        <v>2</v>
      </c>
      <c r="K116" s="312">
        <v>0</v>
      </c>
      <c r="L116" s="220">
        <f>K116*J116</f>
        <v>0</v>
      </c>
      <c r="M116" s="312">
        <v>0</v>
      </c>
      <c r="N116" s="148"/>
    </row>
    <row r="117" spans="1:14" x14ac:dyDescent="0.35">
      <c r="A117" s="470"/>
      <c r="B117" s="56"/>
      <c r="C117" s="8"/>
      <c r="D117" s="8"/>
      <c r="E117" s="8"/>
      <c r="F117" s="13"/>
      <c r="G117" s="13"/>
      <c r="H117" s="103"/>
      <c r="I117" s="68"/>
      <c r="J117" s="212"/>
      <c r="K117" s="220"/>
      <c r="L117" s="220"/>
      <c r="M117" s="220"/>
      <c r="N117" s="148"/>
    </row>
    <row r="118" spans="1:14" ht="15.5" x14ac:dyDescent="0.35">
      <c r="A118" s="470"/>
      <c r="B118" s="76"/>
      <c r="C118" s="77"/>
      <c r="D118" s="77"/>
      <c r="E118" s="77"/>
      <c r="F118" s="30"/>
      <c r="G118" s="31"/>
      <c r="H118" s="32" t="s">
        <v>459</v>
      </c>
      <c r="I118" s="33"/>
      <c r="J118" s="98"/>
      <c r="K118" s="34"/>
      <c r="L118" s="137">
        <f>SUM(L116:L116)</f>
        <v>0</v>
      </c>
      <c r="M118" s="137">
        <f>SUM(M116:M116)</f>
        <v>0</v>
      </c>
      <c r="N118" s="148"/>
    </row>
    <row r="119" spans="1:14" ht="15.5" x14ac:dyDescent="0.35">
      <c r="A119" s="470"/>
      <c r="B119" s="56"/>
      <c r="C119" s="8"/>
      <c r="D119" s="8"/>
      <c r="E119" s="8"/>
      <c r="F119" s="25"/>
      <c r="G119" s="64"/>
      <c r="H119" s="65"/>
      <c r="I119" s="281"/>
      <c r="J119" s="282"/>
      <c r="K119" s="283"/>
      <c r="L119" s="170"/>
      <c r="M119" s="170"/>
      <c r="N119" s="148"/>
    </row>
    <row r="120" spans="1:14" ht="18.5" x14ac:dyDescent="0.35">
      <c r="A120" s="470"/>
      <c r="B120" s="57">
        <v>62</v>
      </c>
      <c r="C120" s="35" t="s">
        <v>47</v>
      </c>
      <c r="D120" s="35" t="s">
        <v>306</v>
      </c>
      <c r="E120" s="40"/>
      <c r="F120" s="160" t="s">
        <v>305</v>
      </c>
      <c r="G120" s="161" t="s">
        <v>220</v>
      </c>
      <c r="H120" s="103" t="s">
        <v>307</v>
      </c>
      <c r="I120" s="211" t="s">
        <v>5</v>
      </c>
      <c r="J120" s="212">
        <v>20</v>
      </c>
      <c r="K120" s="312">
        <v>0</v>
      </c>
      <c r="L120" s="220">
        <f>K120*J120</f>
        <v>0</v>
      </c>
      <c r="M120" s="312">
        <v>0</v>
      </c>
      <c r="N120" s="148"/>
    </row>
    <row r="121" spans="1:14" x14ac:dyDescent="0.35">
      <c r="A121" s="470"/>
      <c r="B121" s="56"/>
      <c r="C121" s="8"/>
      <c r="D121" s="8"/>
      <c r="E121" s="8"/>
      <c r="F121" s="13"/>
      <c r="G121" s="13"/>
      <c r="H121" s="103"/>
      <c r="I121" s="211"/>
      <c r="J121" s="212"/>
      <c r="K121" s="220"/>
      <c r="L121" s="220"/>
      <c r="M121" s="220"/>
      <c r="N121" s="148"/>
    </row>
    <row r="122" spans="1:14" ht="15.5" x14ac:dyDescent="0.35">
      <c r="A122" s="470"/>
      <c r="B122" s="76"/>
      <c r="C122" s="77"/>
      <c r="D122" s="77"/>
      <c r="E122" s="77"/>
      <c r="F122" s="30"/>
      <c r="G122" s="31"/>
      <c r="H122" s="32" t="s">
        <v>459</v>
      </c>
      <c r="I122" s="33"/>
      <c r="J122" s="98"/>
      <c r="K122" s="34"/>
      <c r="L122" s="137">
        <f>SUM(L120:L120)</f>
        <v>0</v>
      </c>
      <c r="M122" s="137">
        <f>SUM(M120:M120)</f>
        <v>0</v>
      </c>
      <c r="N122" s="148"/>
    </row>
    <row r="123" spans="1:14" s="74" customFormat="1" ht="15.5" x14ac:dyDescent="0.35">
      <c r="A123" s="470"/>
      <c r="B123" s="56"/>
      <c r="C123" s="8"/>
      <c r="D123" s="8"/>
      <c r="E123" s="8"/>
      <c r="F123" s="25"/>
      <c r="G123" s="64"/>
      <c r="H123" s="65"/>
      <c r="I123" s="281"/>
      <c r="J123" s="282"/>
      <c r="K123" s="283"/>
      <c r="L123" s="170"/>
      <c r="M123" s="170"/>
      <c r="N123" s="148"/>
    </row>
    <row r="124" spans="1:14" s="74" customFormat="1" ht="18.5" x14ac:dyDescent="0.35">
      <c r="A124" s="470"/>
      <c r="B124" s="57">
        <v>63</v>
      </c>
      <c r="C124" s="35" t="s">
        <v>47</v>
      </c>
      <c r="D124" s="35" t="s">
        <v>308</v>
      </c>
      <c r="E124" s="40"/>
      <c r="F124" s="160" t="s">
        <v>309</v>
      </c>
      <c r="G124" s="161" t="s">
        <v>221</v>
      </c>
      <c r="H124" s="103" t="s">
        <v>307</v>
      </c>
      <c r="I124" s="211" t="s">
        <v>5</v>
      </c>
      <c r="J124" s="212">
        <f>2+0.8</f>
        <v>2.8</v>
      </c>
      <c r="K124" s="312">
        <v>0</v>
      </c>
      <c r="L124" s="220">
        <f>K124*J124</f>
        <v>0</v>
      </c>
      <c r="M124" s="312">
        <v>0</v>
      </c>
      <c r="N124" s="148"/>
    </row>
    <row r="125" spans="1:14" s="74" customFormat="1" x14ac:dyDescent="0.35">
      <c r="A125" s="470"/>
      <c r="B125" s="56"/>
      <c r="C125" s="8"/>
      <c r="D125" s="8"/>
      <c r="E125" s="8"/>
      <c r="F125" s="13"/>
      <c r="G125" s="13"/>
      <c r="H125" s="103"/>
      <c r="I125" s="211"/>
      <c r="J125" s="212"/>
      <c r="K125" s="220"/>
      <c r="L125" s="220"/>
      <c r="M125" s="220"/>
      <c r="N125" s="148"/>
    </row>
    <row r="126" spans="1:14" s="74" customFormat="1" ht="15.5" x14ac:dyDescent="0.35">
      <c r="A126" s="470"/>
      <c r="B126" s="76"/>
      <c r="C126" s="77"/>
      <c r="D126" s="77"/>
      <c r="E126" s="77"/>
      <c r="F126" s="30"/>
      <c r="G126" s="31"/>
      <c r="H126" s="32" t="s">
        <v>459</v>
      </c>
      <c r="I126" s="33"/>
      <c r="J126" s="98"/>
      <c r="K126" s="34"/>
      <c r="L126" s="137">
        <f>SUM(L124:L124)</f>
        <v>0</v>
      </c>
      <c r="M126" s="137">
        <f>SUM(M124:M124)</f>
        <v>0</v>
      </c>
      <c r="N126" s="148"/>
    </row>
    <row r="127" spans="1:14" ht="15" thickBot="1" x14ac:dyDescent="0.4">
      <c r="A127" s="470"/>
      <c r="B127" s="56"/>
      <c r="C127" s="8"/>
      <c r="D127" s="8"/>
      <c r="E127" s="8"/>
      <c r="F127" s="8"/>
      <c r="G127" s="8"/>
      <c r="H127" s="141"/>
      <c r="I127" s="141"/>
      <c r="J127" s="162"/>
      <c r="K127" s="141"/>
      <c r="L127" s="141"/>
      <c r="M127" s="141"/>
      <c r="N127" s="148"/>
    </row>
    <row r="128" spans="1:14" ht="19" thickBot="1" x14ac:dyDescent="0.4">
      <c r="A128" s="470"/>
      <c r="B128" s="453" t="s">
        <v>45</v>
      </c>
      <c r="C128" s="454"/>
      <c r="D128" s="454"/>
      <c r="E128" s="454"/>
      <c r="F128" s="454"/>
      <c r="G128" s="140"/>
      <c r="H128" s="140" t="s">
        <v>459</v>
      </c>
      <c r="I128" s="50"/>
      <c r="J128" s="94"/>
      <c r="K128" s="51"/>
      <c r="L128" s="52">
        <f>L126+L122+L118+L114</f>
        <v>0</v>
      </c>
      <c r="M128" s="53">
        <f>M126+M122+M118+M114</f>
        <v>0</v>
      </c>
      <c r="N128" s="148"/>
    </row>
    <row r="129" spans="1:14" ht="19" thickBot="1" x14ac:dyDescent="0.4">
      <c r="A129" s="471"/>
      <c r="B129" s="58"/>
      <c r="C129" s="21"/>
      <c r="D129" s="21"/>
      <c r="E129" s="14"/>
      <c r="F129" s="296"/>
      <c r="G129" s="296"/>
      <c r="H129" s="297"/>
      <c r="I129" s="276"/>
      <c r="J129" s="298"/>
      <c r="K129" s="277"/>
      <c r="L129" s="278"/>
      <c r="M129" s="276"/>
      <c r="N129" s="219"/>
    </row>
    <row r="130" spans="1:14" s="75" customFormat="1" ht="18.5" x14ac:dyDescent="0.35">
      <c r="A130" s="472" t="s">
        <v>59</v>
      </c>
      <c r="B130" s="249"/>
      <c r="C130" s="250"/>
      <c r="D130" s="250"/>
      <c r="E130" s="251"/>
      <c r="F130" s="217"/>
      <c r="G130" s="217"/>
      <c r="H130" s="229"/>
      <c r="I130" s="211"/>
      <c r="J130" s="212"/>
      <c r="K130" s="220"/>
      <c r="L130" s="220"/>
      <c r="M130" s="220"/>
      <c r="N130" s="252"/>
    </row>
    <row r="131" spans="1:14" s="75" customFormat="1" ht="52.5" customHeight="1" x14ac:dyDescent="0.35">
      <c r="A131" s="473"/>
      <c r="B131" s="57">
        <v>64</v>
      </c>
      <c r="C131" s="35" t="s">
        <v>60</v>
      </c>
      <c r="D131" s="35" t="s">
        <v>200</v>
      </c>
      <c r="E131" s="40"/>
      <c r="F131" s="160" t="s">
        <v>289</v>
      </c>
      <c r="G131" s="216" t="s">
        <v>73</v>
      </c>
      <c r="H131" s="239" t="s">
        <v>516</v>
      </c>
      <c r="I131" s="211" t="s">
        <v>6</v>
      </c>
      <c r="J131" s="212">
        <v>1</v>
      </c>
      <c r="K131" s="312">
        <v>0</v>
      </c>
      <c r="L131" s="220">
        <f>K131*J131</f>
        <v>0</v>
      </c>
      <c r="M131" s="312">
        <v>0</v>
      </c>
      <c r="N131" s="219" t="s">
        <v>542</v>
      </c>
    </row>
    <row r="132" spans="1:14" s="75" customFormat="1" ht="18.5" x14ac:dyDescent="0.35">
      <c r="A132" s="473"/>
      <c r="B132" s="249"/>
      <c r="C132" s="250"/>
      <c r="D132" s="250"/>
      <c r="E132" s="251"/>
      <c r="F132" s="217"/>
      <c r="G132" s="216"/>
      <c r="H132" s="239" t="s">
        <v>62</v>
      </c>
      <c r="I132" s="211" t="s">
        <v>6</v>
      </c>
      <c r="J132" s="212">
        <v>1</v>
      </c>
      <c r="K132" s="312">
        <v>0</v>
      </c>
      <c r="L132" s="220">
        <f>K132*J132</f>
        <v>0</v>
      </c>
      <c r="M132" s="312">
        <v>0</v>
      </c>
      <c r="N132" s="219" t="s">
        <v>550</v>
      </c>
    </row>
    <row r="133" spans="1:14" s="75" customFormat="1" ht="18.5" x14ac:dyDescent="0.35">
      <c r="A133" s="473"/>
      <c r="B133" s="249"/>
      <c r="C133" s="250"/>
      <c r="D133" s="250"/>
      <c r="E133" s="251"/>
      <c r="F133" s="217"/>
      <c r="G133" s="216"/>
      <c r="H133" s="239"/>
      <c r="I133" s="211"/>
      <c r="J133" s="212"/>
      <c r="K133" s="220"/>
      <c r="L133" s="220"/>
      <c r="M133" s="220"/>
      <c r="N133" s="219"/>
    </row>
    <row r="134" spans="1:14" s="75" customFormat="1" x14ac:dyDescent="0.35">
      <c r="A134" s="473"/>
      <c r="B134" s="249"/>
      <c r="C134" s="251"/>
      <c r="D134" s="251"/>
      <c r="E134" s="251"/>
      <c r="F134" s="217"/>
      <c r="G134" s="217" t="s">
        <v>74</v>
      </c>
      <c r="H134" s="239" t="s">
        <v>290</v>
      </c>
      <c r="I134" s="211" t="s">
        <v>279</v>
      </c>
      <c r="J134" s="212">
        <v>2</v>
      </c>
      <c r="K134" s="312">
        <v>0</v>
      </c>
      <c r="L134" s="220"/>
      <c r="M134" s="220">
        <f>K134*J134</f>
        <v>0</v>
      </c>
      <c r="N134" s="219"/>
    </row>
    <row r="135" spans="1:14" s="75" customFormat="1" x14ac:dyDescent="0.35">
      <c r="A135" s="473"/>
      <c r="B135" s="249"/>
      <c r="C135" s="251"/>
      <c r="D135" s="251"/>
      <c r="E135" s="251"/>
      <c r="F135" s="217"/>
      <c r="G135" s="217"/>
      <c r="H135" s="239" t="s">
        <v>84</v>
      </c>
      <c r="I135" s="211" t="s">
        <v>279</v>
      </c>
      <c r="J135" s="212">
        <v>1</v>
      </c>
      <c r="K135" s="312">
        <v>0</v>
      </c>
      <c r="L135" s="220"/>
      <c r="M135" s="220">
        <f>K135*J135</f>
        <v>0</v>
      </c>
      <c r="N135" s="219"/>
    </row>
    <row r="136" spans="1:14" s="75" customFormat="1" x14ac:dyDescent="0.35">
      <c r="A136" s="473"/>
      <c r="B136" s="249"/>
      <c r="C136" s="251"/>
      <c r="D136" s="251"/>
      <c r="E136" s="251"/>
      <c r="F136" s="217"/>
      <c r="G136" s="217"/>
      <c r="H136" s="239"/>
      <c r="I136" s="211"/>
      <c r="J136" s="212"/>
      <c r="K136" s="220"/>
      <c r="L136" s="220"/>
      <c r="M136" s="220"/>
      <c r="N136" s="219"/>
    </row>
    <row r="137" spans="1:14" s="75" customFormat="1" ht="15.5" x14ac:dyDescent="0.35">
      <c r="A137" s="473"/>
      <c r="B137" s="260"/>
      <c r="C137" s="261"/>
      <c r="D137" s="261"/>
      <c r="E137" s="261"/>
      <c r="F137" s="262"/>
      <c r="G137" s="255"/>
      <c r="H137" s="234" t="s">
        <v>459</v>
      </c>
      <c r="I137" s="256"/>
      <c r="J137" s="257"/>
      <c r="K137" s="258"/>
      <c r="L137" s="137">
        <f>SUM(L131:L135)</f>
        <v>0</v>
      </c>
      <c r="M137" s="137">
        <f>SUM(M131:M135)</f>
        <v>0</v>
      </c>
      <c r="N137" s="219"/>
    </row>
    <row r="138" spans="1:14" s="135" customFormat="1" x14ac:dyDescent="0.35">
      <c r="A138" s="473"/>
      <c r="B138" s="59"/>
      <c r="C138" s="61"/>
      <c r="D138" s="61"/>
      <c r="E138" s="61"/>
      <c r="F138" s="80"/>
      <c r="G138" s="263"/>
      <c r="H138" s="240"/>
      <c r="I138" s="211"/>
      <c r="J138" s="212"/>
      <c r="K138" s="220"/>
      <c r="L138" s="240"/>
      <c r="M138" s="240"/>
      <c r="N138" s="253"/>
    </row>
    <row r="139" spans="1:14" s="135" customFormat="1" ht="18.5" x14ac:dyDescent="0.35">
      <c r="A139" s="473"/>
      <c r="B139" s="57">
        <v>65</v>
      </c>
      <c r="C139" s="35" t="s">
        <v>60</v>
      </c>
      <c r="D139" s="35" t="s">
        <v>201</v>
      </c>
      <c r="E139" s="40"/>
      <c r="F139" s="160" t="s">
        <v>428</v>
      </c>
      <c r="G139" s="216" t="s">
        <v>73</v>
      </c>
      <c r="H139" s="239" t="s">
        <v>429</v>
      </c>
      <c r="I139" s="211" t="s">
        <v>6</v>
      </c>
      <c r="J139" s="212">
        <v>1</v>
      </c>
      <c r="K139" s="312">
        <v>0</v>
      </c>
      <c r="L139" s="220">
        <f>K139*J139</f>
        <v>0</v>
      </c>
      <c r="M139" s="312">
        <v>0</v>
      </c>
      <c r="N139" s="253"/>
    </row>
    <row r="140" spans="1:14" s="135" customFormat="1" x14ac:dyDescent="0.35">
      <c r="A140" s="473"/>
      <c r="B140" s="249"/>
      <c r="C140" s="251"/>
      <c r="D140" s="251"/>
      <c r="E140" s="251"/>
      <c r="F140" s="217"/>
      <c r="G140" s="217"/>
      <c r="H140" s="239"/>
      <c r="I140" s="211"/>
      <c r="J140" s="212"/>
      <c r="K140" s="220"/>
      <c r="L140" s="220"/>
      <c r="M140" s="220"/>
      <c r="N140" s="219"/>
    </row>
    <row r="141" spans="1:14" s="135" customFormat="1" ht="15.5" x14ac:dyDescent="0.35">
      <c r="A141" s="473"/>
      <c r="B141" s="260"/>
      <c r="C141" s="261"/>
      <c r="D141" s="261"/>
      <c r="E141" s="261"/>
      <c r="F141" s="262"/>
      <c r="G141" s="255"/>
      <c r="H141" s="234" t="s">
        <v>459</v>
      </c>
      <c r="I141" s="256"/>
      <c r="J141" s="257"/>
      <c r="K141" s="258"/>
      <c r="L141" s="137">
        <f>SUM(L139)</f>
        <v>0</v>
      </c>
      <c r="M141" s="137">
        <f>SUM(M139)</f>
        <v>0</v>
      </c>
      <c r="N141" s="219"/>
    </row>
    <row r="142" spans="1:14" s="75" customFormat="1" ht="15" thickBot="1" x14ac:dyDescent="0.4">
      <c r="A142" s="473"/>
      <c r="B142" s="59"/>
      <c r="C142" s="61"/>
      <c r="D142" s="61"/>
      <c r="E142" s="61"/>
      <c r="F142" s="61"/>
      <c r="G142" s="61"/>
      <c r="H142" s="166"/>
      <c r="I142" s="166"/>
      <c r="J142" s="167"/>
      <c r="K142" s="166"/>
      <c r="L142" s="166"/>
      <c r="M142" s="166"/>
      <c r="N142" s="219"/>
    </row>
    <row r="143" spans="1:14" s="75" customFormat="1" ht="19" thickBot="1" x14ac:dyDescent="0.4">
      <c r="A143" s="473"/>
      <c r="B143" s="453" t="s">
        <v>56</v>
      </c>
      <c r="C143" s="454"/>
      <c r="D143" s="454"/>
      <c r="E143" s="454"/>
      <c r="F143" s="454"/>
      <c r="G143" s="140"/>
      <c r="H143" s="140" t="s">
        <v>459</v>
      </c>
      <c r="I143" s="50"/>
      <c r="J143" s="94"/>
      <c r="K143" s="51"/>
      <c r="L143" s="52">
        <f>L137+L141</f>
        <v>0</v>
      </c>
      <c r="M143" s="53">
        <f>M137+M141</f>
        <v>0</v>
      </c>
      <c r="N143" s="219"/>
    </row>
    <row r="144" spans="1:14" s="75" customFormat="1" ht="19" thickBot="1" x14ac:dyDescent="0.4">
      <c r="A144" s="474"/>
      <c r="B144" s="293"/>
      <c r="C144" s="294"/>
      <c r="D144" s="294"/>
      <c r="E144" s="295"/>
      <c r="F144" s="296"/>
      <c r="G144" s="296"/>
      <c r="H144" s="297"/>
      <c r="I144" s="276"/>
      <c r="J144" s="298"/>
      <c r="K144" s="277"/>
      <c r="L144" s="278"/>
      <c r="M144" s="276"/>
      <c r="N144" s="254"/>
    </row>
    <row r="145" spans="1:14" ht="18.5" x14ac:dyDescent="0.35">
      <c r="A145" s="469" t="s">
        <v>71</v>
      </c>
      <c r="B145" s="56"/>
      <c r="C145" s="20"/>
      <c r="D145" s="20"/>
      <c r="E145" s="8"/>
      <c r="F145" s="13"/>
      <c r="G145" s="13"/>
      <c r="H145" s="141"/>
      <c r="I145" s="68"/>
      <c r="J145" s="95"/>
      <c r="K145" s="69"/>
      <c r="L145" s="69"/>
      <c r="M145" s="69"/>
      <c r="N145" s="146"/>
    </row>
    <row r="146" spans="1:14" ht="18.75" customHeight="1" x14ac:dyDescent="0.35">
      <c r="A146" s="470"/>
      <c r="B146" s="57"/>
      <c r="C146" s="35" t="s">
        <v>72</v>
      </c>
      <c r="D146" s="35" t="s">
        <v>682</v>
      </c>
      <c r="E146" s="40"/>
      <c r="F146" s="311"/>
      <c r="G146" s="161"/>
      <c r="H146" s="103"/>
      <c r="I146" s="68"/>
      <c r="J146" s="95"/>
      <c r="K146" s="69"/>
      <c r="L146" s="69"/>
      <c r="M146" s="69"/>
      <c r="N146" s="148" t="s">
        <v>680</v>
      </c>
    </row>
    <row r="147" spans="1:14" x14ac:dyDescent="0.35">
      <c r="A147" s="470"/>
      <c r="B147" s="56"/>
      <c r="C147" s="8"/>
      <c r="D147" s="8"/>
      <c r="E147" s="8"/>
      <c r="F147" s="13"/>
      <c r="G147" s="13"/>
      <c r="H147" s="103"/>
      <c r="I147" s="68"/>
      <c r="J147" s="95"/>
      <c r="K147" s="69"/>
      <c r="L147" s="69"/>
      <c r="M147" s="69"/>
      <c r="N147" s="148"/>
    </row>
    <row r="148" spans="1:14" ht="15.5" x14ac:dyDescent="0.35">
      <c r="A148" s="470"/>
      <c r="B148" s="76"/>
      <c r="C148" s="77"/>
      <c r="D148" s="77"/>
      <c r="E148" s="77"/>
      <c r="F148" s="30"/>
      <c r="G148" s="31"/>
      <c r="H148" s="32" t="s">
        <v>459</v>
      </c>
      <c r="I148" s="33"/>
      <c r="J148" s="98"/>
      <c r="K148" s="34"/>
      <c r="L148" s="137">
        <f>SUM(L146:L146)</f>
        <v>0</v>
      </c>
      <c r="M148" s="137">
        <f>SUM(M146:M146)</f>
        <v>0</v>
      </c>
      <c r="N148" s="148"/>
    </row>
    <row r="149" spans="1:14" ht="15" thickBot="1" x14ac:dyDescent="0.4">
      <c r="A149" s="470"/>
      <c r="B149" s="56"/>
      <c r="C149" s="8"/>
      <c r="D149" s="8"/>
      <c r="E149" s="8"/>
      <c r="F149" s="8"/>
      <c r="G149" s="8"/>
      <c r="H149" s="141"/>
      <c r="I149" s="141"/>
      <c r="J149" s="162"/>
      <c r="K149" s="141"/>
      <c r="L149" s="141"/>
      <c r="M149" s="141"/>
      <c r="N149" s="148"/>
    </row>
    <row r="150" spans="1:14" ht="19" thickBot="1" x14ac:dyDescent="0.4">
      <c r="A150" s="470"/>
      <c r="B150" s="453" t="s">
        <v>57</v>
      </c>
      <c r="C150" s="454"/>
      <c r="D150" s="454"/>
      <c r="E150" s="454"/>
      <c r="F150" s="454"/>
      <c r="G150" s="140"/>
      <c r="H150" s="140" t="s">
        <v>459</v>
      </c>
      <c r="I150" s="50"/>
      <c r="J150" s="94"/>
      <c r="K150" s="51"/>
      <c r="L150" s="52">
        <f>L148</f>
        <v>0</v>
      </c>
      <c r="M150" s="53">
        <f>M148</f>
        <v>0</v>
      </c>
      <c r="N150" s="148"/>
    </row>
    <row r="151" spans="1:14" ht="19" thickBot="1" x14ac:dyDescent="0.4">
      <c r="A151" s="463"/>
      <c r="B151" s="58"/>
      <c r="C151" s="21"/>
      <c r="D151" s="21"/>
      <c r="E151" s="14"/>
      <c r="F151" s="15"/>
      <c r="G151" s="15"/>
      <c r="H151" s="16"/>
      <c r="I151" s="17"/>
      <c r="J151" s="96"/>
      <c r="K151" s="277"/>
      <c r="L151" s="278"/>
      <c r="M151" s="276"/>
      <c r="N151" s="254"/>
    </row>
    <row r="152" spans="1:14" x14ac:dyDescent="0.35">
      <c r="J152" s="99"/>
    </row>
    <row r="153" spans="1:14" x14ac:dyDescent="0.35">
      <c r="J153" s="99"/>
    </row>
    <row r="154" spans="1:14" x14ac:dyDescent="0.35">
      <c r="J154" s="99"/>
    </row>
    <row r="155" spans="1:14" x14ac:dyDescent="0.35">
      <c r="J155" s="99"/>
    </row>
    <row r="156" spans="1:14" x14ac:dyDescent="0.35">
      <c r="J156" s="99"/>
    </row>
    <row r="157" spans="1:14" x14ac:dyDescent="0.35">
      <c r="J157" s="99"/>
    </row>
    <row r="158" spans="1:14" x14ac:dyDescent="0.35">
      <c r="J158" s="99"/>
    </row>
    <row r="159" spans="1:14" x14ac:dyDescent="0.35">
      <c r="J159" s="99"/>
    </row>
    <row r="160" spans="1:14" x14ac:dyDescent="0.35">
      <c r="J160" s="99"/>
    </row>
    <row r="161" spans="10:10" x14ac:dyDescent="0.35">
      <c r="J161" s="99"/>
    </row>
    <row r="162" spans="10:10" x14ac:dyDescent="0.35">
      <c r="J162" s="99"/>
    </row>
    <row r="163" spans="10:10" x14ac:dyDescent="0.35">
      <c r="J163" s="99"/>
    </row>
    <row r="164" spans="10:10" x14ac:dyDescent="0.35">
      <c r="J164" s="99"/>
    </row>
    <row r="165" spans="10:10" x14ac:dyDescent="0.35">
      <c r="J165" s="99"/>
    </row>
    <row r="166" spans="10:10" x14ac:dyDescent="0.35">
      <c r="J166" s="99"/>
    </row>
    <row r="167" spans="10:10" x14ac:dyDescent="0.35">
      <c r="J167" s="99"/>
    </row>
    <row r="168" spans="10:10" x14ac:dyDescent="0.35">
      <c r="J168" s="99"/>
    </row>
    <row r="169" spans="10:10" x14ac:dyDescent="0.35">
      <c r="J169" s="99"/>
    </row>
    <row r="170" spans="10:10" x14ac:dyDescent="0.35">
      <c r="J170" s="99"/>
    </row>
    <row r="171" spans="10:10" x14ac:dyDescent="0.35">
      <c r="J171" s="99"/>
    </row>
    <row r="172" spans="10:10" x14ac:dyDescent="0.35">
      <c r="J172" s="99"/>
    </row>
    <row r="173" spans="10:10" x14ac:dyDescent="0.35">
      <c r="J173" s="99"/>
    </row>
    <row r="174" spans="10:10" x14ac:dyDescent="0.35">
      <c r="J174" s="99"/>
    </row>
    <row r="175" spans="10:10" x14ac:dyDescent="0.35">
      <c r="J175" s="99"/>
    </row>
    <row r="176" spans="10:10" x14ac:dyDescent="0.35">
      <c r="J176" s="99"/>
    </row>
    <row r="177" spans="10:10" x14ac:dyDescent="0.35">
      <c r="J177" s="99"/>
    </row>
    <row r="178" spans="10:10" x14ac:dyDescent="0.35">
      <c r="J178" s="99"/>
    </row>
    <row r="179" spans="10:10" x14ac:dyDescent="0.35">
      <c r="J179" s="99"/>
    </row>
    <row r="180" spans="10:10" x14ac:dyDescent="0.35">
      <c r="J180" s="99"/>
    </row>
    <row r="181" spans="10:10" x14ac:dyDescent="0.35">
      <c r="J181" s="99"/>
    </row>
    <row r="182" spans="10:10" x14ac:dyDescent="0.35">
      <c r="J182" s="99"/>
    </row>
    <row r="183" spans="10:10" x14ac:dyDescent="0.35">
      <c r="J183" s="99"/>
    </row>
    <row r="184" spans="10:10" x14ac:dyDescent="0.35">
      <c r="J184" s="99"/>
    </row>
    <row r="185" spans="10:10" x14ac:dyDescent="0.35">
      <c r="J185" s="99"/>
    </row>
    <row r="186" spans="10:10" x14ac:dyDescent="0.35">
      <c r="J186" s="99"/>
    </row>
    <row r="187" spans="10:10" x14ac:dyDescent="0.35">
      <c r="J187" s="99"/>
    </row>
    <row r="188" spans="10:10" x14ac:dyDescent="0.35">
      <c r="J188" s="99"/>
    </row>
    <row r="189" spans="10:10" x14ac:dyDescent="0.35">
      <c r="J189" s="99"/>
    </row>
    <row r="190" spans="10:10" x14ac:dyDescent="0.35">
      <c r="J190" s="99"/>
    </row>
    <row r="191" spans="10:10" x14ac:dyDescent="0.35">
      <c r="J191" s="99"/>
    </row>
    <row r="192" spans="10:10" x14ac:dyDescent="0.35">
      <c r="J192" s="99"/>
    </row>
    <row r="193" spans="10:10" x14ac:dyDescent="0.35">
      <c r="J193" s="99"/>
    </row>
    <row r="194" spans="10:10" x14ac:dyDescent="0.35">
      <c r="J194" s="99"/>
    </row>
    <row r="195" spans="10:10" x14ac:dyDescent="0.35">
      <c r="J195" s="99"/>
    </row>
    <row r="196" spans="10:10" x14ac:dyDescent="0.35">
      <c r="J196" s="99"/>
    </row>
    <row r="197" spans="10:10" x14ac:dyDescent="0.35">
      <c r="J197" s="99"/>
    </row>
    <row r="198" spans="10:10" x14ac:dyDescent="0.35">
      <c r="J198" s="99"/>
    </row>
    <row r="199" spans="10:10" x14ac:dyDescent="0.35">
      <c r="J199" s="99"/>
    </row>
    <row r="200" spans="10:10" x14ac:dyDescent="0.35">
      <c r="J200" s="99"/>
    </row>
    <row r="201" spans="10:10" x14ac:dyDescent="0.35">
      <c r="J201" s="99"/>
    </row>
    <row r="202" spans="10:10" x14ac:dyDescent="0.35">
      <c r="J202" s="99"/>
    </row>
    <row r="203" spans="10:10" x14ac:dyDescent="0.35">
      <c r="J203" s="99"/>
    </row>
    <row r="204" spans="10:10" x14ac:dyDescent="0.35">
      <c r="J204" s="99"/>
    </row>
    <row r="205" spans="10:10" x14ac:dyDescent="0.35">
      <c r="J205" s="99"/>
    </row>
    <row r="206" spans="10:10" x14ac:dyDescent="0.35">
      <c r="J206" s="99"/>
    </row>
    <row r="207" spans="10:10" x14ac:dyDescent="0.35">
      <c r="J207" s="99"/>
    </row>
    <row r="208" spans="10:10" x14ac:dyDescent="0.35">
      <c r="J208" s="99"/>
    </row>
    <row r="209" spans="10:10" x14ac:dyDescent="0.35">
      <c r="J209" s="99"/>
    </row>
    <row r="210" spans="10:10" x14ac:dyDescent="0.35">
      <c r="J210" s="99"/>
    </row>
    <row r="211" spans="10:10" x14ac:dyDescent="0.35">
      <c r="J211" s="99"/>
    </row>
    <row r="212" spans="10:10" x14ac:dyDescent="0.35">
      <c r="J212" s="99"/>
    </row>
    <row r="213" spans="10:10" x14ac:dyDescent="0.35">
      <c r="J213" s="99"/>
    </row>
    <row r="214" spans="10:10" x14ac:dyDescent="0.35">
      <c r="J214" s="99"/>
    </row>
    <row r="215" spans="10:10" x14ac:dyDescent="0.35">
      <c r="J215" s="99"/>
    </row>
    <row r="216" spans="10:10" x14ac:dyDescent="0.35">
      <c r="J216" s="99"/>
    </row>
    <row r="217" spans="10:10" x14ac:dyDescent="0.35">
      <c r="J217" s="99"/>
    </row>
    <row r="218" spans="10:10" x14ac:dyDescent="0.35">
      <c r="J218" s="99"/>
    </row>
    <row r="219" spans="10:10" x14ac:dyDescent="0.35">
      <c r="J219" s="99"/>
    </row>
    <row r="220" spans="10:10" x14ac:dyDescent="0.35">
      <c r="J220" s="99"/>
    </row>
    <row r="221" spans="10:10" x14ac:dyDescent="0.35">
      <c r="J221" s="99"/>
    </row>
    <row r="222" spans="10:10" x14ac:dyDescent="0.35">
      <c r="J222" s="99"/>
    </row>
    <row r="223" spans="10:10" x14ac:dyDescent="0.35">
      <c r="J223" s="99"/>
    </row>
    <row r="224" spans="10:10" x14ac:dyDescent="0.35">
      <c r="J224" s="99"/>
    </row>
    <row r="225" spans="10:10" x14ac:dyDescent="0.35">
      <c r="J225" s="99"/>
    </row>
    <row r="226" spans="10:10" x14ac:dyDescent="0.35">
      <c r="J226" s="99"/>
    </row>
    <row r="227" spans="10:10" x14ac:dyDescent="0.35">
      <c r="J227" s="99"/>
    </row>
    <row r="228" spans="10:10" x14ac:dyDescent="0.35">
      <c r="J228" s="99"/>
    </row>
    <row r="229" spans="10:10" x14ac:dyDescent="0.35">
      <c r="J229" s="99"/>
    </row>
    <row r="230" spans="10:10" x14ac:dyDescent="0.35">
      <c r="J230" s="99"/>
    </row>
    <row r="231" spans="10:10" x14ac:dyDescent="0.35">
      <c r="J231" s="99"/>
    </row>
    <row r="232" spans="10:10" x14ac:dyDescent="0.35">
      <c r="J232" s="99"/>
    </row>
    <row r="233" spans="10:10" x14ac:dyDescent="0.35">
      <c r="J233" s="99"/>
    </row>
    <row r="234" spans="10:10" x14ac:dyDescent="0.35">
      <c r="J234" s="99"/>
    </row>
    <row r="235" spans="10:10" x14ac:dyDescent="0.35">
      <c r="J235" s="99"/>
    </row>
    <row r="236" spans="10:10" x14ac:dyDescent="0.35">
      <c r="J236" s="99"/>
    </row>
    <row r="237" spans="10:10" x14ac:dyDescent="0.35">
      <c r="J237" s="99"/>
    </row>
    <row r="238" spans="10:10" x14ac:dyDescent="0.35">
      <c r="J238" s="99"/>
    </row>
    <row r="239" spans="10:10" x14ac:dyDescent="0.35">
      <c r="J239" s="99"/>
    </row>
    <row r="240" spans="10:10" x14ac:dyDescent="0.35">
      <c r="J240" s="99"/>
    </row>
    <row r="241" spans="10:10" x14ac:dyDescent="0.35">
      <c r="J241" s="99"/>
    </row>
    <row r="242" spans="10:10" x14ac:dyDescent="0.35">
      <c r="J242" s="99"/>
    </row>
    <row r="243" spans="10:10" x14ac:dyDescent="0.35">
      <c r="J243" s="99"/>
    </row>
    <row r="244" spans="10:10" x14ac:dyDescent="0.35">
      <c r="J244" s="99"/>
    </row>
    <row r="245" spans="10:10" x14ac:dyDescent="0.35">
      <c r="J245" s="99"/>
    </row>
    <row r="246" spans="10:10" x14ac:dyDescent="0.35">
      <c r="J246" s="99"/>
    </row>
    <row r="247" spans="10:10" x14ac:dyDescent="0.35">
      <c r="J247" s="99"/>
    </row>
    <row r="248" spans="10:10" x14ac:dyDescent="0.35">
      <c r="J248" s="99"/>
    </row>
    <row r="249" spans="10:10" x14ac:dyDescent="0.35">
      <c r="J249" s="99"/>
    </row>
    <row r="250" spans="10:10" x14ac:dyDescent="0.35">
      <c r="J250" s="99"/>
    </row>
    <row r="251" spans="10:10" x14ac:dyDescent="0.35">
      <c r="J251" s="99"/>
    </row>
    <row r="252" spans="10:10" x14ac:dyDescent="0.35">
      <c r="J252" s="99"/>
    </row>
    <row r="253" spans="10:10" x14ac:dyDescent="0.35">
      <c r="J253" s="99"/>
    </row>
    <row r="254" spans="10:10" x14ac:dyDescent="0.35">
      <c r="J254" s="99"/>
    </row>
    <row r="255" spans="10:10" x14ac:dyDescent="0.35">
      <c r="J255" s="99"/>
    </row>
    <row r="256" spans="10:10" x14ac:dyDescent="0.35">
      <c r="J256" s="99"/>
    </row>
    <row r="257" spans="10:10" x14ac:dyDescent="0.35">
      <c r="J257" s="99"/>
    </row>
    <row r="258" spans="10:10" x14ac:dyDescent="0.35">
      <c r="J258" s="99"/>
    </row>
    <row r="259" spans="10:10" x14ac:dyDescent="0.35">
      <c r="J259" s="99"/>
    </row>
    <row r="260" spans="10:10" x14ac:dyDescent="0.35">
      <c r="J260" s="99"/>
    </row>
    <row r="261" spans="10:10" x14ac:dyDescent="0.35">
      <c r="J261" s="99"/>
    </row>
    <row r="262" spans="10:10" x14ac:dyDescent="0.35">
      <c r="J262" s="99"/>
    </row>
    <row r="263" spans="10:10" x14ac:dyDescent="0.35">
      <c r="J263" s="99"/>
    </row>
    <row r="264" spans="10:10" x14ac:dyDescent="0.35">
      <c r="J264" s="99"/>
    </row>
    <row r="265" spans="10:10" x14ac:dyDescent="0.35">
      <c r="J265" s="99"/>
    </row>
    <row r="266" spans="10:10" x14ac:dyDescent="0.35">
      <c r="J266" s="99"/>
    </row>
    <row r="267" spans="10:10" x14ac:dyDescent="0.35">
      <c r="J267" s="99"/>
    </row>
    <row r="268" spans="10:10" x14ac:dyDescent="0.35">
      <c r="J268" s="99"/>
    </row>
    <row r="269" spans="10:10" x14ac:dyDescent="0.35">
      <c r="J269" s="99"/>
    </row>
    <row r="270" spans="10:10" x14ac:dyDescent="0.35">
      <c r="J270" s="99"/>
    </row>
    <row r="271" spans="10:10" x14ac:dyDescent="0.35">
      <c r="J271" s="99"/>
    </row>
    <row r="272" spans="10:10" x14ac:dyDescent="0.35">
      <c r="J272" s="99"/>
    </row>
    <row r="273" spans="10:10" x14ac:dyDescent="0.35">
      <c r="J273" s="99"/>
    </row>
    <row r="274" spans="10:10" x14ac:dyDescent="0.35">
      <c r="J274" s="99"/>
    </row>
    <row r="275" spans="10:10" x14ac:dyDescent="0.35">
      <c r="J275" s="99"/>
    </row>
    <row r="276" spans="10:10" x14ac:dyDescent="0.35">
      <c r="J276" s="99"/>
    </row>
    <row r="277" spans="10:10" x14ac:dyDescent="0.35">
      <c r="J277" s="99"/>
    </row>
    <row r="278" spans="10:10" x14ac:dyDescent="0.35">
      <c r="J278" s="99"/>
    </row>
    <row r="279" spans="10:10" x14ac:dyDescent="0.35">
      <c r="J279" s="99"/>
    </row>
    <row r="280" spans="10:10" x14ac:dyDescent="0.35">
      <c r="J280" s="99"/>
    </row>
    <row r="281" spans="10:10" x14ac:dyDescent="0.35">
      <c r="J281" s="99"/>
    </row>
    <row r="282" spans="10:10" x14ac:dyDescent="0.35">
      <c r="J282" s="99"/>
    </row>
    <row r="283" spans="10:10" x14ac:dyDescent="0.35">
      <c r="J283" s="99"/>
    </row>
    <row r="284" spans="10:10" x14ac:dyDescent="0.35">
      <c r="J284" s="99"/>
    </row>
    <row r="285" spans="10:10" x14ac:dyDescent="0.35">
      <c r="J285" s="99"/>
    </row>
    <row r="286" spans="10:10" x14ac:dyDescent="0.35">
      <c r="J286" s="99"/>
    </row>
    <row r="287" spans="10:10" x14ac:dyDescent="0.35">
      <c r="J287" s="99"/>
    </row>
    <row r="288" spans="10:10" x14ac:dyDescent="0.35">
      <c r="J288" s="99"/>
    </row>
    <row r="289" spans="10:10" x14ac:dyDescent="0.35">
      <c r="J289" s="99"/>
    </row>
    <row r="290" spans="10:10" x14ac:dyDescent="0.35">
      <c r="J290" s="99"/>
    </row>
    <row r="291" spans="10:10" x14ac:dyDescent="0.35">
      <c r="J291" s="99"/>
    </row>
    <row r="292" spans="10:10" x14ac:dyDescent="0.35">
      <c r="J292" s="99"/>
    </row>
    <row r="293" spans="10:10" x14ac:dyDescent="0.35">
      <c r="J293" s="99"/>
    </row>
    <row r="294" spans="10:10" x14ac:dyDescent="0.35">
      <c r="J294" s="99"/>
    </row>
    <row r="295" spans="10:10" x14ac:dyDescent="0.35">
      <c r="J295" s="99"/>
    </row>
    <row r="296" spans="10:10" x14ac:dyDescent="0.35">
      <c r="J296" s="99"/>
    </row>
    <row r="297" spans="10:10" x14ac:dyDescent="0.35">
      <c r="J297" s="99"/>
    </row>
    <row r="298" spans="10:10" x14ac:dyDescent="0.35">
      <c r="J298" s="99"/>
    </row>
    <row r="299" spans="10:10" x14ac:dyDescent="0.35">
      <c r="J299" s="99"/>
    </row>
    <row r="300" spans="10:10" x14ac:dyDescent="0.35">
      <c r="J300" s="99"/>
    </row>
    <row r="301" spans="10:10" x14ac:dyDescent="0.35">
      <c r="J301" s="99"/>
    </row>
    <row r="302" spans="10:10" x14ac:dyDescent="0.35">
      <c r="J302" s="99"/>
    </row>
    <row r="303" spans="10:10" x14ac:dyDescent="0.35">
      <c r="J303" s="99"/>
    </row>
    <row r="304" spans="10:10" x14ac:dyDescent="0.35">
      <c r="J304" s="99"/>
    </row>
    <row r="305" spans="10:10" x14ac:dyDescent="0.35">
      <c r="J305" s="99"/>
    </row>
    <row r="306" spans="10:10" x14ac:dyDescent="0.35">
      <c r="J306" s="99"/>
    </row>
  </sheetData>
  <sheetProtection sheet="1" objects="1" scenarios="1"/>
  <mergeCells count="22">
    <mergeCell ref="A9:G9"/>
    <mergeCell ref="A2:N2"/>
    <mergeCell ref="A5:G5"/>
    <mergeCell ref="A6:G6"/>
    <mergeCell ref="A7:G7"/>
    <mergeCell ref="A8:G8"/>
    <mergeCell ref="A10:G10"/>
    <mergeCell ref="F14:G14"/>
    <mergeCell ref="B23:F23"/>
    <mergeCell ref="A36:A99"/>
    <mergeCell ref="B98:F98"/>
    <mergeCell ref="A16:A24"/>
    <mergeCell ref="C14:D14"/>
    <mergeCell ref="A11:K11"/>
    <mergeCell ref="A145:A151"/>
    <mergeCell ref="B150:F150"/>
    <mergeCell ref="A100:A110"/>
    <mergeCell ref="B109:F109"/>
    <mergeCell ref="A111:A129"/>
    <mergeCell ref="B128:F128"/>
    <mergeCell ref="A130:A144"/>
    <mergeCell ref="B143:F143"/>
  </mergeCells>
  <pageMargins left="0.23622047244094491" right="0.23622047244094491" top="0.11811023622047245" bottom="0.23622047244094491" header="0.11811023622047245" footer="0.11811023622047245"/>
  <pageSetup paperSize="9" scale="43" firstPageNumber="11" fitToHeight="0" orientation="landscape" useFirstPageNumber="1" horizontalDpi="1200" verticalDpi="1200" r:id="rId1"/>
  <headerFooter>
    <oddFooter>&amp;C&amp;P/43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Q295"/>
  <sheetViews>
    <sheetView view="pageLayout" zoomScale="40" zoomScaleNormal="70" zoomScalePageLayoutView="40" workbookViewId="0">
      <selection activeCell="K17" sqref="K17"/>
    </sheetView>
  </sheetViews>
  <sheetFormatPr defaultColWidth="9.1796875" defaultRowHeight="14.5" x14ac:dyDescent="0.35"/>
  <cols>
    <col min="1" max="1" width="5" style="43" customWidth="1"/>
    <col min="2" max="2" width="5.7265625" style="54" customWidth="1"/>
    <col min="3" max="3" width="5.81640625" style="6" customWidth="1"/>
    <col min="4" max="4" width="7" style="6" customWidth="1"/>
    <col min="5" max="5" width="3.7265625" style="6" customWidth="1"/>
    <col min="6" max="6" width="50.7265625" style="6" customWidth="1"/>
    <col min="7" max="7" width="20.26953125" style="6" customWidth="1"/>
    <col min="8" max="8" width="55.7265625" style="43" customWidth="1"/>
    <col min="9" max="11" width="13.7265625" style="43" customWidth="1"/>
    <col min="12" max="13" width="25.7265625" style="43" customWidth="1"/>
    <col min="14" max="14" width="85.7265625" style="43" customWidth="1"/>
    <col min="15" max="15" width="13.7265625" style="43" customWidth="1"/>
    <col min="16" max="16384" width="9.1796875" style="43"/>
  </cols>
  <sheetData>
    <row r="2" spans="1:14" s="151" customFormat="1" ht="35.15" customHeight="1" x14ac:dyDescent="0.35">
      <c r="A2" s="467" t="s">
        <v>747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</row>
    <row r="3" spans="1:14" s="151" customFormat="1" ht="10" customHeight="1" thickBot="1" x14ac:dyDescent="0.4">
      <c r="A3" s="264"/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156"/>
      <c r="M3" s="156"/>
      <c r="N3" s="156"/>
    </row>
    <row r="4" spans="1:14" ht="26.5" thickBot="1" x14ac:dyDescent="0.4">
      <c r="A4" s="245"/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153" t="s">
        <v>7</v>
      </c>
      <c r="M4" s="153" t="s">
        <v>8</v>
      </c>
      <c r="N4" s="152"/>
    </row>
    <row r="5" spans="1:14" ht="18.5" x14ac:dyDescent="0.35">
      <c r="A5" s="457" t="s">
        <v>55</v>
      </c>
      <c r="B5" s="458"/>
      <c r="C5" s="458"/>
      <c r="D5" s="458"/>
      <c r="E5" s="458"/>
      <c r="F5" s="458"/>
      <c r="G5" s="458"/>
      <c r="H5" s="244"/>
      <c r="I5" s="244"/>
      <c r="J5" s="244"/>
      <c r="K5" s="244"/>
      <c r="L5" s="154">
        <f>L23</f>
        <v>0</v>
      </c>
      <c r="M5" s="154">
        <f>M23</f>
        <v>0</v>
      </c>
      <c r="N5" s="152"/>
    </row>
    <row r="6" spans="1:14" ht="18.5" x14ac:dyDescent="0.35">
      <c r="A6" s="457" t="s">
        <v>37</v>
      </c>
      <c r="B6" s="458"/>
      <c r="C6" s="458"/>
      <c r="D6" s="458"/>
      <c r="E6" s="458"/>
      <c r="F6" s="458"/>
      <c r="G6" s="458"/>
      <c r="H6" s="244"/>
      <c r="I6" s="244"/>
      <c r="J6" s="244"/>
      <c r="K6" s="244"/>
      <c r="L6" s="154">
        <f>L63</f>
        <v>0</v>
      </c>
      <c r="M6" s="154">
        <f>M63</f>
        <v>0</v>
      </c>
      <c r="N6" s="152"/>
    </row>
    <row r="7" spans="1:14" ht="18.5" x14ac:dyDescent="0.35">
      <c r="A7" s="457" t="s">
        <v>43</v>
      </c>
      <c r="B7" s="458"/>
      <c r="C7" s="458"/>
      <c r="D7" s="458"/>
      <c r="E7" s="458"/>
      <c r="F7" s="458"/>
      <c r="G7" s="458"/>
      <c r="H7" s="244"/>
      <c r="I7" s="244"/>
      <c r="J7" s="244"/>
      <c r="K7" s="244"/>
      <c r="L7" s="154">
        <f>L74</f>
        <v>0</v>
      </c>
      <c r="M7" s="154">
        <f>M74</f>
        <v>0</v>
      </c>
      <c r="N7" s="152"/>
    </row>
    <row r="8" spans="1:14" ht="18.5" x14ac:dyDescent="0.35">
      <c r="A8" s="457" t="s">
        <v>45</v>
      </c>
      <c r="B8" s="458"/>
      <c r="C8" s="458"/>
      <c r="D8" s="458"/>
      <c r="E8" s="458"/>
      <c r="F8" s="458"/>
      <c r="G8" s="458"/>
      <c r="H8" s="244"/>
      <c r="I8" s="244"/>
      <c r="J8" s="244"/>
      <c r="K8" s="244"/>
      <c r="L8" s="154">
        <f>L85</f>
        <v>0</v>
      </c>
      <c r="M8" s="154">
        <f>M85</f>
        <v>0</v>
      </c>
      <c r="N8" s="152"/>
    </row>
    <row r="9" spans="1:14" ht="18.5" x14ac:dyDescent="0.35">
      <c r="A9" s="457" t="s">
        <v>56</v>
      </c>
      <c r="B9" s="458"/>
      <c r="C9" s="458"/>
      <c r="D9" s="458"/>
      <c r="E9" s="458"/>
      <c r="F9" s="458"/>
      <c r="G9" s="458"/>
      <c r="H9" s="244"/>
      <c r="I9" s="244"/>
      <c r="J9" s="244"/>
      <c r="K9" s="244"/>
      <c r="L9" s="154">
        <f>L107</f>
        <v>0</v>
      </c>
      <c r="M9" s="154">
        <f>M107</f>
        <v>0</v>
      </c>
      <c r="N9" s="152"/>
    </row>
    <row r="10" spans="1:14" ht="19" thickBot="1" x14ac:dyDescent="0.4">
      <c r="A10" s="457" t="s">
        <v>57</v>
      </c>
      <c r="B10" s="458"/>
      <c r="C10" s="458"/>
      <c r="D10" s="458"/>
      <c r="E10" s="458"/>
      <c r="F10" s="458"/>
      <c r="G10" s="458"/>
      <c r="H10" s="244"/>
      <c r="I10" s="244"/>
      <c r="J10" s="244"/>
      <c r="K10" s="244"/>
      <c r="L10" s="154">
        <f>L114</f>
        <v>0</v>
      </c>
      <c r="M10" s="154">
        <f>M114</f>
        <v>0</v>
      </c>
      <c r="N10" s="152"/>
    </row>
    <row r="11" spans="1:14" ht="26.5" thickBot="1" x14ac:dyDescent="0.4">
      <c r="A11" s="465" t="s">
        <v>462</v>
      </c>
      <c r="B11" s="458"/>
      <c r="C11" s="458"/>
      <c r="D11" s="458"/>
      <c r="E11" s="458"/>
      <c r="F11" s="458"/>
      <c r="G11" s="458"/>
      <c r="H11" s="458"/>
      <c r="I11" s="458"/>
      <c r="J11" s="458"/>
      <c r="K11" s="466"/>
      <c r="L11" s="155">
        <f>SUM(L5:L10)</f>
        <v>0</v>
      </c>
      <c r="M11" s="155">
        <f>SUM(M5:M10)</f>
        <v>0</v>
      </c>
      <c r="N11" s="152"/>
    </row>
    <row r="12" spans="1:14" ht="26" x14ac:dyDescent="0.35">
      <c r="A12" s="246"/>
      <c r="B12" s="247"/>
      <c r="C12" s="248"/>
      <c r="D12" s="248"/>
      <c r="E12" s="248"/>
      <c r="F12" s="248"/>
      <c r="G12" s="248"/>
      <c r="H12" s="248"/>
      <c r="I12" s="248"/>
      <c r="J12" s="248"/>
      <c r="K12" s="248"/>
    </row>
    <row r="13" spans="1:14" ht="19" thickBot="1" x14ac:dyDescent="0.4">
      <c r="A13" s="248"/>
      <c r="B13" s="269"/>
      <c r="C13" s="270"/>
      <c r="D13" s="270"/>
      <c r="E13" s="271"/>
      <c r="F13" s="271"/>
      <c r="G13" s="271"/>
      <c r="H13" s="248"/>
      <c r="I13" s="248"/>
      <c r="J13" s="248"/>
      <c r="K13" s="248"/>
    </row>
    <row r="14" spans="1:14" s="1" customFormat="1" ht="30.75" customHeight="1" thickBot="1" x14ac:dyDescent="0.4">
      <c r="A14" s="27" t="s">
        <v>25</v>
      </c>
      <c r="B14" s="27" t="s">
        <v>26</v>
      </c>
      <c r="C14" s="464" t="s">
        <v>27</v>
      </c>
      <c r="D14" s="460"/>
      <c r="E14" s="5"/>
      <c r="F14" s="459" t="s">
        <v>11</v>
      </c>
      <c r="G14" s="460"/>
      <c r="H14" s="4" t="s">
        <v>48</v>
      </c>
      <c r="I14" s="4" t="s">
        <v>0</v>
      </c>
      <c r="J14" s="4" t="s">
        <v>1</v>
      </c>
      <c r="K14" s="4" t="s">
        <v>2</v>
      </c>
      <c r="L14" s="4" t="s">
        <v>7</v>
      </c>
      <c r="M14" s="4" t="s">
        <v>8</v>
      </c>
      <c r="N14" s="4" t="s">
        <v>3</v>
      </c>
    </row>
    <row r="15" spans="1:14" s="310" customFormat="1" ht="15" customHeight="1" thickBot="1" x14ac:dyDescent="0.4">
      <c r="A15" s="285"/>
      <c r="B15" s="286"/>
      <c r="C15" s="287"/>
      <c r="D15" s="287"/>
      <c r="E15" s="271"/>
      <c r="F15" s="288"/>
      <c r="G15" s="288"/>
      <c r="H15" s="288"/>
      <c r="I15" s="288"/>
      <c r="J15" s="288"/>
      <c r="K15" s="288"/>
      <c r="L15" s="288"/>
      <c r="M15" s="288"/>
      <c r="N15" s="288"/>
    </row>
    <row r="16" spans="1:14" ht="18.5" x14ac:dyDescent="0.35">
      <c r="A16" s="476" t="s">
        <v>41</v>
      </c>
      <c r="B16" s="55"/>
      <c r="C16" s="45"/>
      <c r="D16" s="45"/>
      <c r="E16" s="46"/>
      <c r="F16" s="47"/>
      <c r="G16" s="47"/>
      <c r="H16" s="44"/>
      <c r="I16" s="48"/>
      <c r="J16" s="92"/>
      <c r="K16" s="49"/>
      <c r="L16" s="49"/>
      <c r="M16" s="49"/>
      <c r="N16" s="146"/>
    </row>
    <row r="17" spans="1:14" ht="21" customHeight="1" x14ac:dyDescent="0.35">
      <c r="A17" s="462"/>
      <c r="B17" s="57">
        <v>66</v>
      </c>
      <c r="C17" s="35" t="s">
        <v>9</v>
      </c>
      <c r="D17" s="35" t="s">
        <v>182</v>
      </c>
      <c r="E17" s="36"/>
      <c r="F17" s="37" t="s">
        <v>181</v>
      </c>
      <c r="G17" s="10"/>
      <c r="H17" s="103" t="s">
        <v>535</v>
      </c>
      <c r="I17" s="68" t="s">
        <v>6</v>
      </c>
      <c r="J17" s="95">
        <v>1</v>
      </c>
      <c r="K17" s="312">
        <v>0</v>
      </c>
      <c r="L17" s="69"/>
      <c r="M17" s="69">
        <f>K17*J17</f>
        <v>0</v>
      </c>
      <c r="N17" s="147"/>
    </row>
    <row r="18" spans="1:14" ht="18.5" x14ac:dyDescent="0.35">
      <c r="A18" s="462"/>
      <c r="B18" s="59"/>
      <c r="C18" s="41"/>
      <c r="D18" s="41"/>
      <c r="E18" s="61"/>
      <c r="F18" s="62"/>
      <c r="G18" s="13"/>
      <c r="H18" s="103"/>
      <c r="I18" s="68"/>
      <c r="J18" s="95"/>
      <c r="K18" s="69"/>
      <c r="L18" s="69"/>
      <c r="M18" s="69"/>
      <c r="N18" s="148"/>
    </row>
    <row r="19" spans="1:14" ht="18.5" x14ac:dyDescent="0.35">
      <c r="A19" s="462"/>
      <c r="B19" s="57">
        <v>67</v>
      </c>
      <c r="C19" s="35" t="s">
        <v>9</v>
      </c>
      <c r="D19" s="35" t="s">
        <v>183</v>
      </c>
      <c r="E19" s="40"/>
      <c r="F19" s="39" t="s">
        <v>144</v>
      </c>
      <c r="G19" s="13"/>
      <c r="H19" s="103" t="s">
        <v>531</v>
      </c>
      <c r="I19" s="68" t="s">
        <v>4</v>
      </c>
      <c r="J19" s="95">
        <f>1.205*1.63</f>
        <v>1.9641500000000001</v>
      </c>
      <c r="K19" s="312">
        <v>0</v>
      </c>
      <c r="L19" s="69">
        <f>K19*J19</f>
        <v>0</v>
      </c>
      <c r="M19" s="312">
        <v>0</v>
      </c>
      <c r="N19" s="148"/>
    </row>
    <row r="20" spans="1:14" s="135" customFormat="1" ht="18.5" x14ac:dyDescent="0.35">
      <c r="A20" s="462"/>
      <c r="B20" s="59"/>
      <c r="C20" s="41"/>
      <c r="D20" s="41"/>
      <c r="E20" s="61"/>
      <c r="F20" s="62"/>
      <c r="G20" s="13"/>
      <c r="H20" s="103"/>
      <c r="I20" s="68"/>
      <c r="J20" s="95"/>
      <c r="K20" s="69"/>
      <c r="L20" s="69"/>
      <c r="M20" s="69"/>
      <c r="N20" s="148"/>
    </row>
    <row r="21" spans="1:14" s="135" customFormat="1" ht="18.5" x14ac:dyDescent="0.35">
      <c r="A21" s="462"/>
      <c r="B21" s="57">
        <v>68</v>
      </c>
      <c r="C21" s="35" t="s">
        <v>9</v>
      </c>
      <c r="D21" s="35" t="s">
        <v>185</v>
      </c>
      <c r="E21" s="40"/>
      <c r="F21" s="39" t="s">
        <v>400</v>
      </c>
      <c r="G21" s="13"/>
      <c r="H21" s="103" t="s">
        <v>401</v>
      </c>
      <c r="I21" s="68" t="s">
        <v>6</v>
      </c>
      <c r="J21" s="95">
        <v>1</v>
      </c>
      <c r="K21" s="312">
        <v>0</v>
      </c>
      <c r="L21" s="69">
        <f>K21*J21</f>
        <v>0</v>
      </c>
      <c r="M21" s="312">
        <v>0</v>
      </c>
      <c r="N21" s="148"/>
    </row>
    <row r="22" spans="1:14" ht="15" customHeight="1" thickBot="1" x14ac:dyDescent="0.4">
      <c r="A22" s="462"/>
      <c r="B22" s="56"/>
      <c r="C22" s="20"/>
      <c r="D22" s="20"/>
      <c r="E22" s="8"/>
      <c r="F22" s="26"/>
      <c r="G22" s="13"/>
      <c r="H22" s="103"/>
      <c r="I22" s="68"/>
      <c r="J22" s="95"/>
      <c r="K22" s="69"/>
      <c r="L22" s="69"/>
      <c r="M22" s="69"/>
      <c r="N22" s="148"/>
    </row>
    <row r="23" spans="1:14" ht="19" thickBot="1" x14ac:dyDescent="0.4">
      <c r="A23" s="462"/>
      <c r="B23" s="453" t="s">
        <v>13</v>
      </c>
      <c r="C23" s="454"/>
      <c r="D23" s="454"/>
      <c r="E23" s="454"/>
      <c r="F23" s="454"/>
      <c r="G23" s="140"/>
      <c r="H23" s="140" t="s">
        <v>459</v>
      </c>
      <c r="I23" s="50"/>
      <c r="J23" s="94"/>
      <c r="K23" s="51"/>
      <c r="L23" s="52">
        <f>SUM(L17:L21)</f>
        <v>0</v>
      </c>
      <c r="M23" s="53">
        <f>SUM(M17:M21)</f>
        <v>0</v>
      </c>
      <c r="N23" s="148"/>
    </row>
    <row r="24" spans="1:14" ht="19" thickBot="1" x14ac:dyDescent="0.4">
      <c r="A24" s="463"/>
      <c r="B24" s="58"/>
      <c r="C24" s="21"/>
      <c r="D24" s="21"/>
      <c r="E24" s="14"/>
      <c r="F24" s="15"/>
      <c r="G24" s="15"/>
      <c r="H24" s="16"/>
      <c r="I24" s="17"/>
      <c r="J24" s="96"/>
      <c r="K24" s="277"/>
      <c r="L24" s="278"/>
      <c r="M24" s="276"/>
      <c r="N24" s="148"/>
    </row>
    <row r="25" spans="1:14" x14ac:dyDescent="0.35">
      <c r="A25" s="168"/>
      <c r="B25" s="56"/>
      <c r="C25" s="8"/>
      <c r="D25" s="8"/>
      <c r="E25" s="8"/>
      <c r="F25" s="8"/>
      <c r="G25" s="8"/>
      <c r="H25" s="141"/>
      <c r="I25" s="141"/>
      <c r="J25" s="162"/>
      <c r="K25" s="141"/>
      <c r="L25" s="141"/>
      <c r="M25" s="141"/>
      <c r="N25" s="146"/>
    </row>
    <row r="26" spans="1:14" ht="18.5" x14ac:dyDescent="0.35">
      <c r="A26" s="475" t="s">
        <v>40</v>
      </c>
      <c r="B26" s="57">
        <v>69</v>
      </c>
      <c r="C26" s="35" t="s">
        <v>14</v>
      </c>
      <c r="D26" s="35" t="s">
        <v>182</v>
      </c>
      <c r="E26" s="40"/>
      <c r="F26" s="160" t="s">
        <v>170</v>
      </c>
      <c r="G26" s="161" t="s">
        <v>16</v>
      </c>
      <c r="H26" s="103" t="s">
        <v>474</v>
      </c>
      <c r="I26" s="68" t="s">
        <v>4</v>
      </c>
      <c r="J26" s="212">
        <f>(1.5*0.4+2*0.4*0.4)</f>
        <v>0.92000000000000015</v>
      </c>
      <c r="K26" s="312">
        <v>0</v>
      </c>
      <c r="L26" s="69">
        <f>K26*J26</f>
        <v>0</v>
      </c>
      <c r="M26" s="312">
        <v>0</v>
      </c>
      <c r="N26" s="148" t="s">
        <v>539</v>
      </c>
    </row>
    <row r="27" spans="1:14" x14ac:dyDescent="0.35">
      <c r="A27" s="470"/>
      <c r="B27" s="56"/>
      <c r="C27" s="8"/>
      <c r="D27" s="8"/>
      <c r="E27" s="8"/>
      <c r="F27" s="13"/>
      <c r="G27" s="161"/>
      <c r="H27" s="103"/>
      <c r="I27" s="68"/>
      <c r="J27" s="212"/>
      <c r="K27" s="69"/>
      <c r="L27" s="69"/>
      <c r="M27" s="69"/>
      <c r="N27" s="148"/>
    </row>
    <row r="28" spans="1:14" x14ac:dyDescent="0.35">
      <c r="A28" s="470"/>
      <c r="B28" s="56"/>
      <c r="C28" s="8"/>
      <c r="D28" s="8"/>
      <c r="E28" s="8"/>
      <c r="F28" s="13"/>
      <c r="G28" s="161" t="s">
        <v>18</v>
      </c>
      <c r="H28" s="103" t="s">
        <v>171</v>
      </c>
      <c r="I28" s="68" t="s">
        <v>4</v>
      </c>
      <c r="J28" s="212">
        <f>J26*2</f>
        <v>1.8400000000000003</v>
      </c>
      <c r="K28" s="312">
        <v>0</v>
      </c>
      <c r="L28" s="69">
        <f>K28*J28</f>
        <v>0</v>
      </c>
      <c r="M28" s="312">
        <v>0</v>
      </c>
      <c r="N28" s="148" t="s">
        <v>768</v>
      </c>
    </row>
    <row r="29" spans="1:14" s="74" customFormat="1" x14ac:dyDescent="0.35">
      <c r="A29" s="470"/>
      <c r="B29" s="56"/>
      <c r="C29" s="8"/>
      <c r="D29" s="8"/>
      <c r="E29" s="8"/>
      <c r="F29" s="13"/>
      <c r="G29" s="13"/>
      <c r="H29" s="103"/>
      <c r="I29" s="68"/>
      <c r="J29" s="95"/>
      <c r="K29" s="69"/>
      <c r="L29" s="69"/>
      <c r="M29" s="69"/>
      <c r="N29" s="148"/>
    </row>
    <row r="30" spans="1:14" ht="15.5" x14ac:dyDescent="0.35">
      <c r="A30" s="470"/>
      <c r="B30" s="56"/>
      <c r="C30" s="8"/>
      <c r="D30" s="8"/>
      <c r="E30" s="8"/>
      <c r="F30" s="13" t="s">
        <v>478</v>
      </c>
      <c r="G30" s="13"/>
      <c r="H30" s="103" t="s">
        <v>690</v>
      </c>
      <c r="I30" s="68"/>
      <c r="J30" s="95"/>
      <c r="K30" s="69"/>
      <c r="L30" s="89">
        <f>SUM(L26:L28)</f>
        <v>0</v>
      </c>
      <c r="M30" s="89">
        <f>SUM(M26:M28)</f>
        <v>0</v>
      </c>
      <c r="N30" s="148"/>
    </row>
    <row r="31" spans="1:14" ht="15.5" x14ac:dyDescent="0.35">
      <c r="A31" s="470"/>
      <c r="B31" s="76"/>
      <c r="C31" s="77"/>
      <c r="D31" s="77"/>
      <c r="E31" s="77"/>
      <c r="F31" s="289" t="s">
        <v>709</v>
      </c>
      <c r="G31" s="31"/>
      <c r="H31" s="32" t="s">
        <v>626</v>
      </c>
      <c r="I31" s="33"/>
      <c r="J31" s="98"/>
      <c r="K31" s="34"/>
      <c r="L31" s="137">
        <f>L30*2</f>
        <v>0</v>
      </c>
      <c r="M31" s="137">
        <f>M30*2</f>
        <v>0</v>
      </c>
      <c r="N31" s="148"/>
    </row>
    <row r="32" spans="1:14" ht="18.75" customHeight="1" x14ac:dyDescent="0.35">
      <c r="A32" s="470"/>
      <c r="B32" s="56"/>
      <c r="C32" s="20"/>
      <c r="D32" s="20"/>
      <c r="E32" s="8"/>
      <c r="F32" s="13"/>
      <c r="G32" s="13"/>
      <c r="H32" s="141"/>
      <c r="I32" s="68"/>
      <c r="J32" s="95"/>
      <c r="K32" s="69"/>
      <c r="L32" s="69"/>
      <c r="M32" s="69"/>
      <c r="N32" s="148"/>
    </row>
    <row r="33" spans="1:17" ht="29.5" customHeight="1" x14ac:dyDescent="0.35">
      <c r="A33" s="470"/>
      <c r="B33" s="57">
        <v>70</v>
      </c>
      <c r="C33" s="35" t="s">
        <v>14</v>
      </c>
      <c r="D33" s="35" t="s">
        <v>183</v>
      </c>
      <c r="E33" s="40"/>
      <c r="F33" s="160" t="s">
        <v>184</v>
      </c>
      <c r="G33" s="161" t="s">
        <v>16</v>
      </c>
      <c r="H33" s="88" t="s">
        <v>488</v>
      </c>
      <c r="I33" s="68" t="s">
        <v>4</v>
      </c>
      <c r="J33" s="95">
        <f>0.6*(2*(1.79+0.49))</f>
        <v>2.7360000000000002</v>
      </c>
      <c r="K33" s="312">
        <v>0</v>
      </c>
      <c r="L33" s="69">
        <f>K33*J33</f>
        <v>0</v>
      </c>
      <c r="M33" s="312">
        <v>0</v>
      </c>
      <c r="N33" s="148" t="s">
        <v>444</v>
      </c>
    </row>
    <row r="34" spans="1:17" ht="18.5" x14ac:dyDescent="0.35">
      <c r="A34" s="470"/>
      <c r="B34" s="56"/>
      <c r="C34" s="20"/>
      <c r="D34" s="20"/>
      <c r="E34" s="8"/>
      <c r="F34" s="13"/>
      <c r="G34" s="161"/>
      <c r="H34" s="103"/>
      <c r="I34" s="68"/>
      <c r="J34" s="95"/>
      <c r="K34" s="69"/>
      <c r="L34" s="69"/>
      <c r="M34" s="69"/>
      <c r="N34" s="148"/>
    </row>
    <row r="35" spans="1:17" x14ac:dyDescent="0.35">
      <c r="A35" s="470"/>
      <c r="B35" s="56"/>
      <c r="C35" s="8"/>
      <c r="D35" s="8"/>
      <c r="E35" s="8"/>
      <c r="F35" s="13"/>
      <c r="G35" s="161" t="s">
        <v>17</v>
      </c>
      <c r="H35" s="103" t="s">
        <v>534</v>
      </c>
      <c r="I35" s="68" t="s">
        <v>5</v>
      </c>
      <c r="J35" s="95">
        <f>2*(2*1.79+2*0.49)+4*0.6</f>
        <v>11.520000000000001</v>
      </c>
      <c r="K35" s="312">
        <v>0</v>
      </c>
      <c r="L35" s="69">
        <f>K35*J35</f>
        <v>0</v>
      </c>
      <c r="M35" s="312">
        <v>0</v>
      </c>
      <c r="N35" s="148"/>
    </row>
    <row r="36" spans="1:17" x14ac:dyDescent="0.35">
      <c r="A36" s="470"/>
      <c r="B36" s="56"/>
      <c r="C36" s="8"/>
      <c r="D36" s="8"/>
      <c r="E36" s="8"/>
      <c r="F36" s="13"/>
      <c r="G36" s="161"/>
      <c r="H36" s="103"/>
      <c r="I36" s="68"/>
      <c r="J36" s="95"/>
      <c r="K36" s="69"/>
      <c r="L36" s="69"/>
      <c r="M36" s="69"/>
      <c r="N36" s="148"/>
    </row>
    <row r="37" spans="1:17" x14ac:dyDescent="0.35">
      <c r="A37" s="470"/>
      <c r="B37" s="56"/>
      <c r="C37" s="8"/>
      <c r="D37" s="8"/>
      <c r="E37" s="8"/>
      <c r="F37" s="13"/>
      <c r="G37" s="161" t="s">
        <v>18</v>
      </c>
      <c r="H37" s="103" t="s">
        <v>149</v>
      </c>
      <c r="I37" s="68" t="s">
        <v>4</v>
      </c>
      <c r="J37" s="95">
        <f>J33</f>
        <v>2.7360000000000002</v>
      </c>
      <c r="K37" s="312">
        <v>0</v>
      </c>
      <c r="L37" s="69">
        <f>K37*J37</f>
        <v>0</v>
      </c>
      <c r="M37" s="312">
        <v>0</v>
      </c>
      <c r="N37" s="148" t="s">
        <v>519</v>
      </c>
      <c r="Q37" s="70"/>
    </row>
    <row r="38" spans="1:17" x14ac:dyDescent="0.35">
      <c r="A38" s="470"/>
      <c r="B38" s="56"/>
      <c r="C38" s="8"/>
      <c r="D38" s="8"/>
      <c r="E38" s="8"/>
      <c r="F38" s="13"/>
      <c r="G38" s="161"/>
      <c r="H38" s="103"/>
      <c r="I38" s="68"/>
      <c r="J38" s="95"/>
      <c r="K38" s="69"/>
      <c r="L38" s="69"/>
      <c r="M38" s="69"/>
      <c r="N38" s="148"/>
    </row>
    <row r="39" spans="1:17" x14ac:dyDescent="0.35">
      <c r="A39" s="470"/>
      <c r="B39" s="56"/>
      <c r="C39" s="8"/>
      <c r="D39" s="8"/>
      <c r="E39" s="8"/>
      <c r="F39" s="13"/>
      <c r="G39" s="13" t="s">
        <v>28</v>
      </c>
      <c r="H39" s="103" t="s">
        <v>29</v>
      </c>
      <c r="I39" s="68" t="s">
        <v>6</v>
      </c>
      <c r="J39" s="95">
        <v>4</v>
      </c>
      <c r="K39" s="312">
        <v>0</v>
      </c>
      <c r="L39" s="69">
        <f>K39*J39</f>
        <v>0</v>
      </c>
      <c r="M39" s="312">
        <v>0</v>
      </c>
      <c r="N39" s="148"/>
    </row>
    <row r="40" spans="1:17" x14ac:dyDescent="0.35">
      <c r="A40" s="470"/>
      <c r="B40" s="56"/>
      <c r="C40" s="8"/>
      <c r="D40" s="8"/>
      <c r="E40" s="8"/>
      <c r="F40" s="13"/>
      <c r="G40" s="13"/>
      <c r="H40" s="103" t="s">
        <v>153</v>
      </c>
      <c r="I40" s="68" t="s">
        <v>6</v>
      </c>
      <c r="J40" s="95">
        <v>2</v>
      </c>
      <c r="K40" s="312">
        <v>0</v>
      </c>
      <c r="L40" s="69">
        <f>K40*J40</f>
        <v>0</v>
      </c>
      <c r="M40" s="312">
        <v>0</v>
      </c>
      <c r="N40" s="148" t="s">
        <v>540</v>
      </c>
    </row>
    <row r="41" spans="1:17" x14ac:dyDescent="0.35">
      <c r="A41" s="470"/>
      <c r="B41" s="56"/>
      <c r="C41" s="8"/>
      <c r="D41" s="8"/>
      <c r="E41" s="8"/>
      <c r="F41" s="13"/>
      <c r="G41" s="13"/>
      <c r="H41" s="103" t="s">
        <v>536</v>
      </c>
      <c r="I41" s="68" t="s">
        <v>6</v>
      </c>
      <c r="J41" s="95">
        <v>4</v>
      </c>
      <c r="K41" s="312">
        <v>0</v>
      </c>
      <c r="L41" s="69">
        <f>K41*J41</f>
        <v>0</v>
      </c>
      <c r="M41" s="312">
        <v>0</v>
      </c>
      <c r="N41" s="148"/>
    </row>
    <row r="42" spans="1:17" x14ac:dyDescent="0.35">
      <c r="A42" s="470"/>
      <c r="B42" s="56"/>
      <c r="C42" s="8"/>
      <c r="D42" s="8"/>
      <c r="E42" s="8"/>
      <c r="F42" s="13"/>
      <c r="G42" s="13"/>
      <c r="H42" s="103"/>
      <c r="I42" s="68"/>
      <c r="J42" s="95"/>
      <c r="K42" s="69"/>
      <c r="L42" s="69"/>
      <c r="M42" s="69"/>
      <c r="N42" s="148"/>
    </row>
    <row r="43" spans="1:17" ht="15.5" x14ac:dyDescent="0.35">
      <c r="A43" s="470"/>
      <c r="B43" s="76"/>
      <c r="C43" s="77"/>
      <c r="D43" s="77"/>
      <c r="E43" s="77"/>
      <c r="F43" s="30"/>
      <c r="G43" s="31"/>
      <c r="H43" s="32" t="s">
        <v>459</v>
      </c>
      <c r="I43" s="33"/>
      <c r="J43" s="98"/>
      <c r="K43" s="34"/>
      <c r="L43" s="137">
        <f>SUM(L33:L41)</f>
        <v>0</v>
      </c>
      <c r="M43" s="137">
        <f>SUM(M33:M41)</f>
        <v>0</v>
      </c>
      <c r="N43" s="148"/>
    </row>
    <row r="44" spans="1:17" x14ac:dyDescent="0.35">
      <c r="A44" s="470"/>
      <c r="B44" s="56"/>
      <c r="C44" s="8"/>
      <c r="D44" s="8"/>
      <c r="E44" s="8"/>
      <c r="F44" s="8"/>
      <c r="G44" s="8"/>
      <c r="H44" s="141"/>
      <c r="I44" s="141"/>
      <c r="J44" s="162"/>
      <c r="K44" s="141"/>
      <c r="L44" s="141"/>
      <c r="M44" s="141"/>
      <c r="N44" s="148"/>
    </row>
    <row r="45" spans="1:17" ht="18.5" x14ac:dyDescent="0.35">
      <c r="A45" s="470"/>
      <c r="B45" s="57">
        <v>71</v>
      </c>
      <c r="C45" s="35" t="s">
        <v>14</v>
      </c>
      <c r="D45" s="35" t="s">
        <v>185</v>
      </c>
      <c r="E45" s="40"/>
      <c r="F45" s="160" t="s">
        <v>187</v>
      </c>
      <c r="G45" s="161" t="s">
        <v>16</v>
      </c>
      <c r="H45" s="103" t="s">
        <v>503</v>
      </c>
      <c r="I45" s="68" t="s">
        <v>4</v>
      </c>
      <c r="J45" s="95">
        <f>2*1.2*6.5</f>
        <v>15.6</v>
      </c>
      <c r="K45" s="312">
        <v>0</v>
      </c>
      <c r="L45" s="69">
        <f>K45*J45</f>
        <v>0</v>
      </c>
      <c r="M45" s="312">
        <v>0</v>
      </c>
      <c r="N45" s="148" t="s">
        <v>436</v>
      </c>
    </row>
    <row r="46" spans="1:17" ht="18.5" x14ac:dyDescent="0.35">
      <c r="A46" s="470"/>
      <c r="B46" s="56"/>
      <c r="C46" s="20"/>
      <c r="D46" s="20"/>
      <c r="E46" s="8"/>
      <c r="F46" s="13"/>
      <c r="G46" s="161"/>
      <c r="H46" s="103"/>
      <c r="I46" s="68"/>
      <c r="J46" s="95"/>
      <c r="K46" s="69"/>
      <c r="L46" s="69"/>
      <c r="M46" s="69"/>
      <c r="N46" s="148"/>
    </row>
    <row r="47" spans="1:17" x14ac:dyDescent="0.35">
      <c r="A47" s="470"/>
      <c r="B47" s="56"/>
      <c r="C47" s="8"/>
      <c r="D47" s="8"/>
      <c r="E47" s="8"/>
      <c r="F47" s="13"/>
      <c r="G47" s="161" t="s">
        <v>17</v>
      </c>
      <c r="H47" s="103" t="s">
        <v>537</v>
      </c>
      <c r="I47" s="68" t="s">
        <v>6</v>
      </c>
      <c r="J47" s="95">
        <f>2*10</f>
        <v>20</v>
      </c>
      <c r="K47" s="312">
        <v>0</v>
      </c>
      <c r="L47" s="69">
        <f>K47*J47</f>
        <v>0</v>
      </c>
      <c r="M47" s="312">
        <v>0</v>
      </c>
      <c r="N47" s="148"/>
    </row>
    <row r="48" spans="1:17" x14ac:dyDescent="0.35">
      <c r="A48" s="470"/>
      <c r="B48" s="56"/>
      <c r="C48" s="8"/>
      <c r="D48" s="8"/>
      <c r="E48" s="8"/>
      <c r="F48" s="13"/>
      <c r="G48" s="161"/>
      <c r="H48" s="103"/>
      <c r="I48" s="68"/>
      <c r="J48" s="95"/>
      <c r="K48" s="69"/>
      <c r="L48" s="69"/>
      <c r="M48" s="69"/>
      <c r="N48" s="148"/>
    </row>
    <row r="49" spans="1:14" x14ac:dyDescent="0.35">
      <c r="A49" s="470"/>
      <c r="B49" s="56"/>
      <c r="C49" s="8"/>
      <c r="D49" s="8"/>
      <c r="E49" s="8"/>
      <c r="F49" s="13"/>
      <c r="G49" s="161" t="s">
        <v>18</v>
      </c>
      <c r="H49" s="103" t="s">
        <v>149</v>
      </c>
      <c r="I49" s="68" t="s">
        <v>4</v>
      </c>
      <c r="J49" s="95">
        <f>J45*2</f>
        <v>31.2</v>
      </c>
      <c r="K49" s="312">
        <v>0</v>
      </c>
      <c r="L49" s="69">
        <f>K49*J49</f>
        <v>0</v>
      </c>
      <c r="M49" s="312">
        <v>0</v>
      </c>
      <c r="N49" s="148" t="s">
        <v>519</v>
      </c>
    </row>
    <row r="50" spans="1:14" x14ac:dyDescent="0.35">
      <c r="A50" s="470"/>
      <c r="B50" s="56"/>
      <c r="C50" s="8"/>
      <c r="D50" s="8"/>
      <c r="E50" s="8"/>
      <c r="F50" s="13"/>
      <c r="G50" s="13"/>
      <c r="H50" s="103"/>
      <c r="I50" s="68"/>
      <c r="J50" s="95"/>
      <c r="K50" s="69"/>
      <c r="L50" s="69"/>
      <c r="M50" s="69"/>
      <c r="N50" s="148"/>
    </row>
    <row r="51" spans="1:14" ht="15.5" x14ac:dyDescent="0.35">
      <c r="A51" s="470"/>
      <c r="B51" s="76"/>
      <c r="C51" s="77"/>
      <c r="D51" s="77"/>
      <c r="E51" s="77"/>
      <c r="F51" s="30"/>
      <c r="G51" s="31"/>
      <c r="H51" s="32" t="s">
        <v>459</v>
      </c>
      <c r="I51" s="33"/>
      <c r="J51" s="98"/>
      <c r="K51" s="34"/>
      <c r="L51" s="137">
        <f>SUM(L45:L49)</f>
        <v>0</v>
      </c>
      <c r="M51" s="137">
        <f>SUM(M45:M49)</f>
        <v>0</v>
      </c>
      <c r="N51" s="148"/>
    </row>
    <row r="52" spans="1:14" x14ac:dyDescent="0.35">
      <c r="A52" s="470"/>
      <c r="B52" s="56"/>
      <c r="C52" s="8"/>
      <c r="D52" s="8"/>
      <c r="E52" s="8"/>
      <c r="F52" s="8"/>
      <c r="G52" s="8"/>
      <c r="H52" s="141"/>
      <c r="I52" s="141"/>
      <c r="J52" s="162"/>
      <c r="K52" s="141"/>
      <c r="L52" s="141"/>
      <c r="M52" s="141"/>
      <c r="N52" s="148"/>
    </row>
    <row r="53" spans="1:14" ht="18.5" x14ac:dyDescent="0.35">
      <c r="A53" s="470"/>
      <c r="B53" s="57">
        <v>72</v>
      </c>
      <c r="C53" s="35" t="s">
        <v>14</v>
      </c>
      <c r="D53" s="35" t="s">
        <v>186</v>
      </c>
      <c r="E53" s="40"/>
      <c r="F53" s="160" t="s">
        <v>32</v>
      </c>
      <c r="G53" s="161" t="s">
        <v>17</v>
      </c>
      <c r="H53" s="103" t="s">
        <v>475</v>
      </c>
      <c r="I53" s="68" t="s">
        <v>5</v>
      </c>
      <c r="J53" s="95">
        <f>1.78*2+0.83*2</f>
        <v>5.22</v>
      </c>
      <c r="K53" s="312">
        <v>0</v>
      </c>
      <c r="L53" s="69">
        <f>K53*J53</f>
        <v>0</v>
      </c>
      <c r="M53" s="312">
        <v>0</v>
      </c>
      <c r="N53" s="148"/>
    </row>
    <row r="54" spans="1:14" ht="18.5" x14ac:dyDescent="0.35">
      <c r="A54" s="470"/>
      <c r="B54" s="56"/>
      <c r="C54" s="20"/>
      <c r="D54" s="20"/>
      <c r="E54" s="8"/>
      <c r="F54" s="13"/>
      <c r="G54" s="161"/>
      <c r="H54" s="103" t="s">
        <v>476</v>
      </c>
      <c r="I54" s="68" t="s">
        <v>5</v>
      </c>
      <c r="J54" s="95">
        <f>3*0.75</f>
        <v>2.25</v>
      </c>
      <c r="K54" s="312">
        <v>0</v>
      </c>
      <c r="L54" s="69">
        <f>K54*J54</f>
        <v>0</v>
      </c>
      <c r="M54" s="312">
        <v>0</v>
      </c>
      <c r="N54" s="148"/>
    </row>
    <row r="55" spans="1:14" x14ac:dyDescent="0.35">
      <c r="A55" s="470"/>
      <c r="B55" s="56"/>
      <c r="C55" s="8"/>
      <c r="D55" s="8"/>
      <c r="E55" s="8"/>
      <c r="F55" s="13"/>
      <c r="G55" s="161"/>
      <c r="H55" s="103" t="s">
        <v>705</v>
      </c>
      <c r="I55" s="68" t="s">
        <v>5</v>
      </c>
      <c r="J55" s="95">
        <f>3*0.75*0.03</f>
        <v>6.7500000000000004E-2</v>
      </c>
      <c r="K55" s="312">
        <v>0</v>
      </c>
      <c r="L55" s="69">
        <f>K55*J55</f>
        <v>0</v>
      </c>
      <c r="M55" s="312">
        <v>0</v>
      </c>
      <c r="N55" s="148"/>
    </row>
    <row r="56" spans="1:14" x14ac:dyDescent="0.35">
      <c r="A56" s="470"/>
      <c r="B56" s="56"/>
      <c r="C56" s="8"/>
      <c r="D56" s="8"/>
      <c r="E56" s="8"/>
      <c r="F56" s="13"/>
      <c r="G56" s="161"/>
      <c r="H56" s="103"/>
      <c r="I56" s="68"/>
      <c r="J56" s="95"/>
      <c r="K56" s="69"/>
      <c r="L56" s="69"/>
      <c r="M56" s="69"/>
      <c r="N56" s="148"/>
    </row>
    <row r="57" spans="1:14" x14ac:dyDescent="0.35">
      <c r="A57" s="470"/>
      <c r="B57" s="56"/>
      <c r="C57" s="8"/>
      <c r="D57" s="8"/>
      <c r="E57" s="8"/>
      <c r="F57" s="13"/>
      <c r="G57" s="161" t="s">
        <v>18</v>
      </c>
      <c r="H57" s="103" t="s">
        <v>498</v>
      </c>
      <c r="I57" s="68" t="s">
        <v>4</v>
      </c>
      <c r="J57" s="95">
        <f>J53*2*0.04*3+0.5</f>
        <v>1.7527999999999999</v>
      </c>
      <c r="K57" s="312">
        <v>0</v>
      </c>
      <c r="L57" s="69">
        <f>K57*J57</f>
        <v>0</v>
      </c>
      <c r="M57" s="312">
        <v>0</v>
      </c>
      <c r="N57" s="148" t="s">
        <v>519</v>
      </c>
    </row>
    <row r="58" spans="1:14" x14ac:dyDescent="0.35">
      <c r="A58" s="470"/>
      <c r="B58" s="56"/>
      <c r="C58" s="8"/>
      <c r="D58" s="8"/>
      <c r="E58" s="8"/>
      <c r="F58" s="13"/>
      <c r="G58" s="161"/>
      <c r="H58" s="103"/>
      <c r="I58" s="68"/>
      <c r="J58" s="95"/>
      <c r="K58" s="69"/>
      <c r="L58" s="69"/>
      <c r="M58" s="69"/>
      <c r="N58" s="148"/>
    </row>
    <row r="59" spans="1:14" x14ac:dyDescent="0.35">
      <c r="A59" s="470"/>
      <c r="B59" s="56"/>
      <c r="C59" s="8"/>
      <c r="D59" s="8"/>
      <c r="E59" s="8"/>
      <c r="F59" s="13"/>
      <c r="G59" s="161" t="s">
        <v>19</v>
      </c>
      <c r="H59" s="103" t="s">
        <v>770</v>
      </c>
      <c r="I59" s="68" t="s">
        <v>4</v>
      </c>
      <c r="J59" s="95">
        <f>0.79*0.79</f>
        <v>0.6241000000000001</v>
      </c>
      <c r="K59" s="312">
        <v>0</v>
      </c>
      <c r="L59" s="69">
        <f>K59*J59</f>
        <v>0</v>
      </c>
      <c r="M59" s="312">
        <v>0</v>
      </c>
      <c r="N59" s="148"/>
    </row>
    <row r="60" spans="1:14" x14ac:dyDescent="0.35">
      <c r="A60" s="470"/>
      <c r="B60" s="56"/>
      <c r="C60" s="8"/>
      <c r="D60" s="8"/>
      <c r="E60" s="8"/>
      <c r="F60" s="13"/>
      <c r="G60" s="13"/>
      <c r="H60" s="103"/>
      <c r="I60" s="68"/>
      <c r="J60" s="95"/>
      <c r="K60" s="69"/>
      <c r="L60" s="69"/>
      <c r="M60" s="69"/>
      <c r="N60" s="148"/>
    </row>
    <row r="61" spans="1:14" ht="15.5" x14ac:dyDescent="0.35">
      <c r="A61" s="470"/>
      <c r="B61" s="76"/>
      <c r="C61" s="77"/>
      <c r="D61" s="77"/>
      <c r="E61" s="77"/>
      <c r="F61" s="30"/>
      <c r="G61" s="31"/>
      <c r="H61" s="32" t="s">
        <v>459</v>
      </c>
      <c r="I61" s="33"/>
      <c r="J61" s="98"/>
      <c r="K61" s="34"/>
      <c r="L61" s="137">
        <f>SUM(L53:L59)</f>
        <v>0</v>
      </c>
      <c r="M61" s="137">
        <f>SUM(M53:M59)</f>
        <v>0</v>
      </c>
      <c r="N61" s="148"/>
    </row>
    <row r="62" spans="1:14" ht="15" thickBot="1" x14ac:dyDescent="0.4">
      <c r="A62" s="470"/>
      <c r="B62" s="56"/>
      <c r="C62" s="8"/>
      <c r="D62" s="8"/>
      <c r="E62" s="8"/>
      <c r="F62" s="8"/>
      <c r="G62" s="8"/>
      <c r="H62" s="141"/>
      <c r="I62" s="141"/>
      <c r="J62" s="162"/>
      <c r="K62" s="141"/>
      <c r="L62" s="141"/>
      <c r="M62" s="141"/>
      <c r="N62" s="148"/>
    </row>
    <row r="63" spans="1:14" ht="19" thickBot="1" x14ac:dyDescent="0.4">
      <c r="A63" s="470"/>
      <c r="B63" s="453" t="s">
        <v>37</v>
      </c>
      <c r="C63" s="454"/>
      <c r="D63" s="454"/>
      <c r="E63" s="454"/>
      <c r="F63" s="454"/>
      <c r="G63" s="140"/>
      <c r="H63" s="140" t="s">
        <v>459</v>
      </c>
      <c r="I63" s="50"/>
      <c r="J63" s="94"/>
      <c r="K63" s="51"/>
      <c r="L63" s="52">
        <f>L61+L51+L43+L31</f>
        <v>0</v>
      </c>
      <c r="M63" s="53">
        <f>M61+M51+M43+M31</f>
        <v>0</v>
      </c>
      <c r="N63" s="148"/>
    </row>
    <row r="64" spans="1:14" ht="19" thickBot="1" x14ac:dyDescent="0.4">
      <c r="A64" s="471"/>
      <c r="B64" s="58"/>
      <c r="C64" s="21"/>
      <c r="D64" s="21"/>
      <c r="E64" s="14"/>
      <c r="F64" s="15"/>
      <c r="G64" s="15"/>
      <c r="H64" s="16"/>
      <c r="I64" s="17"/>
      <c r="J64" s="96"/>
      <c r="K64" s="277"/>
      <c r="L64" s="278"/>
      <c r="M64" s="276"/>
      <c r="N64" s="254"/>
    </row>
    <row r="65" spans="1:14" ht="18.5" x14ac:dyDescent="0.35">
      <c r="A65" s="469" t="s">
        <v>39</v>
      </c>
      <c r="B65" s="56"/>
      <c r="C65" s="20"/>
      <c r="D65" s="20"/>
      <c r="E65" s="8"/>
      <c r="F65" s="13"/>
      <c r="G65" s="13"/>
      <c r="H65" s="141"/>
      <c r="I65" s="68"/>
      <c r="J65" s="95"/>
      <c r="K65" s="69"/>
      <c r="L65" s="69"/>
      <c r="M65" s="69"/>
      <c r="N65" s="148"/>
    </row>
    <row r="66" spans="1:14" ht="18.5" x14ac:dyDescent="0.35">
      <c r="A66" s="470"/>
      <c r="B66" s="57">
        <v>73</v>
      </c>
      <c r="C66" s="35" t="s">
        <v>38</v>
      </c>
      <c r="D66" s="35" t="s">
        <v>182</v>
      </c>
      <c r="E66" s="40"/>
      <c r="F66" s="160" t="s">
        <v>32</v>
      </c>
      <c r="G66" s="161"/>
      <c r="H66" s="103" t="s">
        <v>42</v>
      </c>
      <c r="I66" s="68" t="s">
        <v>4</v>
      </c>
      <c r="J66" s="95">
        <f>0.75*0.75</f>
        <v>0.5625</v>
      </c>
      <c r="K66" s="312">
        <v>0</v>
      </c>
      <c r="L66" s="69">
        <f>K66*J66</f>
        <v>0</v>
      </c>
      <c r="M66" s="312">
        <v>0</v>
      </c>
      <c r="N66" s="148"/>
    </row>
    <row r="67" spans="1:14" x14ac:dyDescent="0.35">
      <c r="A67" s="470"/>
      <c r="B67" s="56"/>
      <c r="C67" s="8"/>
      <c r="D67" s="8"/>
      <c r="E67" s="8"/>
      <c r="F67" s="13"/>
      <c r="G67" s="13"/>
      <c r="H67" s="103"/>
      <c r="I67" s="68"/>
      <c r="J67" s="95"/>
      <c r="K67" s="69"/>
      <c r="L67" s="69"/>
      <c r="M67" s="69"/>
      <c r="N67" s="148"/>
    </row>
    <row r="68" spans="1:14" ht="15.5" x14ac:dyDescent="0.35">
      <c r="A68" s="470"/>
      <c r="B68" s="76"/>
      <c r="C68" s="77"/>
      <c r="D68" s="77"/>
      <c r="E68" s="77"/>
      <c r="F68" s="30"/>
      <c r="G68" s="31"/>
      <c r="H68" s="32" t="s">
        <v>459</v>
      </c>
      <c r="I68" s="33"/>
      <c r="J68" s="98"/>
      <c r="K68" s="34"/>
      <c r="L68" s="137">
        <f>SUM(L66:L66)</f>
        <v>0</v>
      </c>
      <c r="M68" s="137">
        <f>SUM(M66:M66)</f>
        <v>0</v>
      </c>
      <c r="N68" s="148"/>
    </row>
    <row r="69" spans="1:14" s="135" customFormat="1" ht="18.5" x14ac:dyDescent="0.35">
      <c r="A69" s="470"/>
      <c r="B69" s="56"/>
      <c r="C69" s="20"/>
      <c r="D69" s="20"/>
      <c r="E69" s="8"/>
      <c r="F69" s="13"/>
      <c r="G69" s="13"/>
      <c r="H69" s="141"/>
      <c r="I69" s="68"/>
      <c r="J69" s="95"/>
      <c r="K69" s="69"/>
      <c r="L69" s="69"/>
      <c r="M69" s="69"/>
      <c r="N69" s="148"/>
    </row>
    <row r="70" spans="1:14" s="135" customFormat="1" ht="18.5" x14ac:dyDescent="0.35">
      <c r="A70" s="470"/>
      <c r="B70" s="57">
        <v>74</v>
      </c>
      <c r="C70" s="35" t="s">
        <v>38</v>
      </c>
      <c r="D70" s="35" t="s">
        <v>183</v>
      </c>
      <c r="E70" s="40"/>
      <c r="F70" s="160" t="s">
        <v>445</v>
      </c>
      <c r="G70" s="161"/>
      <c r="H70" s="103" t="s">
        <v>446</v>
      </c>
      <c r="I70" s="68" t="s">
        <v>4</v>
      </c>
      <c r="J70" s="95">
        <f>0.6*(2*(1.79+0.49))</f>
        <v>2.7360000000000002</v>
      </c>
      <c r="K70" s="312">
        <v>0</v>
      </c>
      <c r="L70" s="69">
        <f>K70*J70</f>
        <v>0</v>
      </c>
      <c r="M70" s="312">
        <v>0</v>
      </c>
      <c r="N70" s="148"/>
    </row>
    <row r="71" spans="1:14" s="135" customFormat="1" x14ac:dyDescent="0.35">
      <c r="A71" s="470"/>
      <c r="B71" s="56"/>
      <c r="C71" s="8"/>
      <c r="D71" s="8"/>
      <c r="E71" s="8"/>
      <c r="F71" s="13"/>
      <c r="G71" s="13"/>
      <c r="H71" s="103"/>
      <c r="I71" s="68"/>
      <c r="J71" s="95"/>
      <c r="K71" s="69"/>
      <c r="L71" s="69"/>
      <c r="M71" s="69"/>
      <c r="N71" s="148"/>
    </row>
    <row r="72" spans="1:14" s="135" customFormat="1" ht="15.5" x14ac:dyDescent="0.35">
      <c r="A72" s="470"/>
      <c r="B72" s="76"/>
      <c r="C72" s="77"/>
      <c r="D72" s="77"/>
      <c r="E72" s="77"/>
      <c r="F72" s="30"/>
      <c r="G72" s="31"/>
      <c r="H72" s="32" t="s">
        <v>459</v>
      </c>
      <c r="I72" s="33"/>
      <c r="J72" s="98"/>
      <c r="K72" s="34"/>
      <c r="L72" s="137">
        <f>SUM(L70:L70)</f>
        <v>0</v>
      </c>
      <c r="M72" s="137">
        <f>SUM(M70:M70)</f>
        <v>0</v>
      </c>
      <c r="N72" s="148"/>
    </row>
    <row r="73" spans="1:14" ht="15" thickBot="1" x14ac:dyDescent="0.4">
      <c r="A73" s="470"/>
      <c r="B73" s="56"/>
      <c r="C73" s="8"/>
      <c r="D73" s="8"/>
      <c r="E73" s="8"/>
      <c r="F73" s="8"/>
      <c r="G73" s="8"/>
      <c r="H73" s="141"/>
      <c r="I73" s="141"/>
      <c r="J73" s="162"/>
      <c r="K73" s="141"/>
      <c r="L73" s="141"/>
      <c r="M73" s="141"/>
      <c r="N73" s="148"/>
    </row>
    <row r="74" spans="1:14" ht="19" thickBot="1" x14ac:dyDescent="0.4">
      <c r="A74" s="470"/>
      <c r="B74" s="453" t="s">
        <v>43</v>
      </c>
      <c r="C74" s="454"/>
      <c r="D74" s="454"/>
      <c r="E74" s="454"/>
      <c r="F74" s="454"/>
      <c r="G74" s="140"/>
      <c r="H74" s="140" t="s">
        <v>459</v>
      </c>
      <c r="I74" s="50"/>
      <c r="J74" s="94"/>
      <c r="K74" s="51"/>
      <c r="L74" s="52">
        <f>L68+L72</f>
        <v>0</v>
      </c>
      <c r="M74" s="53">
        <f>M68+M72</f>
        <v>0</v>
      </c>
      <c r="N74" s="148"/>
    </row>
    <row r="75" spans="1:14" ht="19" thickBot="1" x14ac:dyDescent="0.4">
      <c r="A75" s="471"/>
      <c r="B75" s="58"/>
      <c r="C75" s="21"/>
      <c r="D75" s="21"/>
      <c r="E75" s="14"/>
      <c r="F75" s="15"/>
      <c r="G75" s="15"/>
      <c r="H75" s="16"/>
      <c r="I75" s="17"/>
      <c r="J75" s="96"/>
      <c r="K75" s="277"/>
      <c r="L75" s="278"/>
      <c r="M75" s="276"/>
      <c r="N75" s="149"/>
    </row>
    <row r="76" spans="1:14" ht="18.5" x14ac:dyDescent="0.35">
      <c r="A76" s="475" t="s">
        <v>46</v>
      </c>
      <c r="B76" s="56"/>
      <c r="C76" s="20"/>
      <c r="D76" s="20"/>
      <c r="E76" s="8"/>
      <c r="F76" s="13"/>
      <c r="G76" s="13"/>
      <c r="H76" s="141"/>
      <c r="I76" s="68"/>
      <c r="J76" s="95"/>
      <c r="K76" s="69"/>
      <c r="L76" s="69"/>
      <c r="M76" s="69"/>
      <c r="N76" s="148"/>
    </row>
    <row r="77" spans="1:14" ht="39" customHeight="1" x14ac:dyDescent="0.35">
      <c r="A77" s="470"/>
      <c r="B77" s="57">
        <v>75</v>
      </c>
      <c r="C77" s="35" t="s">
        <v>47</v>
      </c>
      <c r="D77" s="35" t="s">
        <v>310</v>
      </c>
      <c r="E77" s="40"/>
      <c r="F77" s="160" t="s">
        <v>312</v>
      </c>
      <c r="G77" s="161" t="s">
        <v>188</v>
      </c>
      <c r="H77" s="88" t="s">
        <v>538</v>
      </c>
      <c r="I77" s="68" t="s">
        <v>5</v>
      </c>
      <c r="J77" s="95">
        <v>14</v>
      </c>
      <c r="K77" s="312">
        <v>0</v>
      </c>
      <c r="L77" s="69">
        <f>K77*J77</f>
        <v>0</v>
      </c>
      <c r="M77" s="312">
        <v>0</v>
      </c>
      <c r="N77" s="148"/>
    </row>
    <row r="78" spans="1:14" x14ac:dyDescent="0.35">
      <c r="A78" s="470"/>
      <c r="B78" s="56"/>
      <c r="C78" s="8"/>
      <c r="D78" s="8"/>
      <c r="E78" s="8"/>
      <c r="F78" s="13"/>
      <c r="G78" s="13"/>
      <c r="H78" s="103"/>
      <c r="I78" s="68"/>
      <c r="J78" s="95"/>
      <c r="K78" s="69"/>
      <c r="L78" s="69"/>
      <c r="M78" s="69"/>
      <c r="N78" s="148"/>
    </row>
    <row r="79" spans="1:14" ht="15.5" x14ac:dyDescent="0.35">
      <c r="A79" s="470"/>
      <c r="B79" s="76"/>
      <c r="C79" s="77"/>
      <c r="D79" s="77"/>
      <c r="E79" s="77"/>
      <c r="F79" s="25"/>
      <c r="G79" s="64"/>
      <c r="H79" s="65" t="s">
        <v>459</v>
      </c>
      <c r="I79" s="66"/>
      <c r="J79" s="102"/>
      <c r="K79" s="67"/>
      <c r="L79" s="89">
        <f>SUM(L77:L77)</f>
        <v>0</v>
      </c>
      <c r="M79" s="89">
        <f>SUM(M77:M77)</f>
        <v>0</v>
      </c>
      <c r="N79" s="148"/>
    </row>
    <row r="80" spans="1:14" x14ac:dyDescent="0.35">
      <c r="A80" s="470"/>
      <c r="B80" s="56"/>
      <c r="C80" s="8"/>
      <c r="D80" s="8"/>
      <c r="E80" s="8"/>
      <c r="F80" s="28"/>
      <c r="G80" s="28"/>
      <c r="H80" s="29"/>
      <c r="I80" s="29"/>
      <c r="J80" s="97"/>
      <c r="K80" s="29"/>
      <c r="L80" s="29"/>
      <c r="M80" s="29"/>
      <c r="N80" s="148"/>
    </row>
    <row r="81" spans="1:14" ht="18.5" x14ac:dyDescent="0.35">
      <c r="A81" s="470"/>
      <c r="B81" s="57">
        <v>76</v>
      </c>
      <c r="C81" s="35" t="s">
        <v>47</v>
      </c>
      <c r="D81" s="35" t="s">
        <v>311</v>
      </c>
      <c r="E81" s="40"/>
      <c r="F81" s="225" t="s">
        <v>684</v>
      </c>
      <c r="G81" s="161" t="s">
        <v>51</v>
      </c>
      <c r="H81" s="103" t="s">
        <v>563</v>
      </c>
      <c r="I81" s="68" t="s">
        <v>5</v>
      </c>
      <c r="J81" s="95">
        <v>10</v>
      </c>
      <c r="K81" s="312">
        <v>0</v>
      </c>
      <c r="L81" s="69">
        <f>K81*J81</f>
        <v>0</v>
      </c>
      <c r="M81" s="312">
        <v>0</v>
      </c>
      <c r="N81" s="223" t="s">
        <v>686</v>
      </c>
    </row>
    <row r="82" spans="1:14" x14ac:dyDescent="0.35">
      <c r="A82" s="470"/>
      <c r="B82" s="56"/>
      <c r="C82" s="8"/>
      <c r="D82" s="8"/>
      <c r="E82" s="8"/>
      <c r="F82" s="13"/>
      <c r="G82" s="13"/>
      <c r="H82" s="103"/>
      <c r="I82" s="68"/>
      <c r="J82" s="95"/>
      <c r="K82" s="69"/>
      <c r="L82" s="69"/>
      <c r="M82" s="69"/>
      <c r="N82" s="148"/>
    </row>
    <row r="83" spans="1:14" ht="15.5" x14ac:dyDescent="0.35">
      <c r="A83" s="470"/>
      <c r="B83" s="76"/>
      <c r="C83" s="77"/>
      <c r="D83" s="77"/>
      <c r="E83" s="77"/>
      <c r="F83" s="30"/>
      <c r="G83" s="31"/>
      <c r="H83" s="32" t="s">
        <v>459</v>
      </c>
      <c r="I83" s="33"/>
      <c r="J83" s="98"/>
      <c r="K83" s="34"/>
      <c r="L83" s="137">
        <f>SUM(L81:L81)</f>
        <v>0</v>
      </c>
      <c r="M83" s="137">
        <f>SUM(M81:M81)</f>
        <v>0</v>
      </c>
      <c r="N83" s="148"/>
    </row>
    <row r="84" spans="1:14" ht="15" thickBot="1" x14ac:dyDescent="0.4">
      <c r="A84" s="470"/>
      <c r="B84" s="56"/>
      <c r="C84" s="8"/>
      <c r="D84" s="8"/>
      <c r="E84" s="8"/>
      <c r="F84" s="8"/>
      <c r="G84" s="8"/>
      <c r="H84" s="141"/>
      <c r="I84" s="141"/>
      <c r="J84" s="162"/>
      <c r="K84" s="141"/>
      <c r="L84" s="141"/>
      <c r="M84" s="141"/>
      <c r="N84" s="148"/>
    </row>
    <row r="85" spans="1:14" ht="19" thickBot="1" x14ac:dyDescent="0.4">
      <c r="A85" s="470"/>
      <c r="B85" s="453" t="s">
        <v>45</v>
      </c>
      <c r="C85" s="454"/>
      <c r="D85" s="454"/>
      <c r="E85" s="454"/>
      <c r="F85" s="454"/>
      <c r="G85" s="140"/>
      <c r="H85" s="140" t="s">
        <v>459</v>
      </c>
      <c r="I85" s="50"/>
      <c r="J85" s="94"/>
      <c r="K85" s="51"/>
      <c r="L85" s="52">
        <f>SUM(+L83+L79)</f>
        <v>0</v>
      </c>
      <c r="M85" s="53">
        <f>M83+M79</f>
        <v>0</v>
      </c>
      <c r="N85" s="148"/>
    </row>
    <row r="86" spans="1:14" ht="19" thickBot="1" x14ac:dyDescent="0.4">
      <c r="A86" s="471"/>
      <c r="B86" s="58"/>
      <c r="C86" s="21"/>
      <c r="D86" s="21"/>
      <c r="E86" s="14"/>
      <c r="F86" s="15"/>
      <c r="G86" s="15"/>
      <c r="H86" s="16"/>
      <c r="I86" s="17"/>
      <c r="J86" s="96"/>
      <c r="K86" s="277"/>
      <c r="L86" s="278"/>
      <c r="M86" s="276"/>
      <c r="N86" s="148"/>
    </row>
    <row r="87" spans="1:14" ht="18.5" x14ac:dyDescent="0.35">
      <c r="A87" s="472" t="s">
        <v>59</v>
      </c>
      <c r="B87" s="249"/>
      <c r="C87" s="250"/>
      <c r="D87" s="250"/>
      <c r="E87" s="251"/>
      <c r="F87" s="217"/>
      <c r="G87" s="217"/>
      <c r="H87" s="229"/>
      <c r="I87" s="211"/>
      <c r="J87" s="212"/>
      <c r="K87" s="220"/>
      <c r="L87" s="220"/>
      <c r="M87" s="220"/>
      <c r="N87" s="146"/>
    </row>
    <row r="88" spans="1:14" ht="53.25" customHeight="1" x14ac:dyDescent="0.35">
      <c r="A88" s="473"/>
      <c r="B88" s="57">
        <v>77</v>
      </c>
      <c r="C88" s="35" t="s">
        <v>60</v>
      </c>
      <c r="D88" s="35" t="s">
        <v>182</v>
      </c>
      <c r="E88" s="40"/>
      <c r="F88" s="160" t="s">
        <v>291</v>
      </c>
      <c r="G88" s="216" t="s">
        <v>73</v>
      </c>
      <c r="H88" s="239" t="s">
        <v>516</v>
      </c>
      <c r="I88" s="211" t="s">
        <v>6</v>
      </c>
      <c r="J88" s="212">
        <v>1</v>
      </c>
      <c r="K88" s="312">
        <v>0</v>
      </c>
      <c r="L88" s="220">
        <f>K88*J88</f>
        <v>0</v>
      </c>
      <c r="M88" s="312">
        <v>0</v>
      </c>
      <c r="N88" s="148" t="s">
        <v>541</v>
      </c>
    </row>
    <row r="89" spans="1:14" ht="29" x14ac:dyDescent="0.35">
      <c r="A89" s="473"/>
      <c r="B89" s="249"/>
      <c r="C89" s="250"/>
      <c r="D89" s="250"/>
      <c r="E89" s="251"/>
      <c r="F89" s="217"/>
      <c r="G89" s="216"/>
      <c r="H89" s="239" t="s">
        <v>521</v>
      </c>
      <c r="I89" s="211" t="s">
        <v>6</v>
      </c>
      <c r="J89" s="212">
        <v>1</v>
      </c>
      <c r="K89" s="312">
        <v>0</v>
      </c>
      <c r="L89" s="220">
        <f>K89*J89</f>
        <v>0</v>
      </c>
      <c r="M89" s="312">
        <v>0</v>
      </c>
      <c r="N89" s="148" t="s">
        <v>551</v>
      </c>
    </row>
    <row r="90" spans="1:14" ht="18.5" x14ac:dyDescent="0.35">
      <c r="A90" s="473"/>
      <c r="B90" s="249"/>
      <c r="C90" s="250"/>
      <c r="D90" s="250"/>
      <c r="E90" s="251"/>
      <c r="F90" s="217"/>
      <c r="G90" s="216"/>
      <c r="H90" s="239" t="s">
        <v>62</v>
      </c>
      <c r="I90" s="211" t="s">
        <v>6</v>
      </c>
      <c r="J90" s="212">
        <v>1</v>
      </c>
      <c r="K90" s="312">
        <v>0</v>
      </c>
      <c r="L90" s="220">
        <f>K90*J90</f>
        <v>0</v>
      </c>
      <c r="M90" s="312">
        <v>0</v>
      </c>
      <c r="N90" s="148" t="s">
        <v>550</v>
      </c>
    </row>
    <row r="91" spans="1:14" x14ac:dyDescent="0.35">
      <c r="A91" s="473"/>
      <c r="B91" s="249"/>
      <c r="C91" s="251"/>
      <c r="D91" s="251"/>
      <c r="E91" s="251"/>
      <c r="F91" s="217"/>
      <c r="G91" s="217"/>
      <c r="H91" s="239"/>
      <c r="I91" s="211"/>
      <c r="J91" s="212"/>
      <c r="K91" s="220"/>
      <c r="L91" s="220"/>
      <c r="M91" s="220"/>
      <c r="N91" s="148"/>
    </row>
    <row r="92" spans="1:14" x14ac:dyDescent="0.35">
      <c r="A92" s="473"/>
      <c r="B92" s="249"/>
      <c r="C92" s="251"/>
      <c r="D92" s="251"/>
      <c r="E92" s="251"/>
      <c r="F92" s="217"/>
      <c r="G92" s="217" t="s">
        <v>74</v>
      </c>
      <c r="H92" s="239" t="s">
        <v>290</v>
      </c>
      <c r="I92" s="211" t="s">
        <v>279</v>
      </c>
      <c r="J92" s="212">
        <v>2</v>
      </c>
      <c r="K92" s="312">
        <v>0</v>
      </c>
      <c r="L92" s="229"/>
      <c r="M92" s="220">
        <f>K92*J92</f>
        <v>0</v>
      </c>
      <c r="N92" s="148"/>
    </row>
    <row r="93" spans="1:14" x14ac:dyDescent="0.35">
      <c r="A93" s="473"/>
      <c r="B93" s="249"/>
      <c r="C93" s="251"/>
      <c r="D93" s="251"/>
      <c r="E93" s="251"/>
      <c r="F93" s="217"/>
      <c r="G93" s="217"/>
      <c r="H93" s="239" t="s">
        <v>84</v>
      </c>
      <c r="I93" s="211" t="s">
        <v>279</v>
      </c>
      <c r="J93" s="212">
        <v>1</v>
      </c>
      <c r="K93" s="312">
        <v>0</v>
      </c>
      <c r="L93" s="229"/>
      <c r="M93" s="220">
        <f>K93*J93</f>
        <v>0</v>
      </c>
      <c r="N93" s="148"/>
    </row>
    <row r="94" spans="1:14" x14ac:dyDescent="0.35">
      <c r="A94" s="473"/>
      <c r="B94" s="249"/>
      <c r="C94" s="251"/>
      <c r="D94" s="251"/>
      <c r="E94" s="251"/>
      <c r="F94" s="217"/>
      <c r="G94" s="217"/>
      <c r="H94" s="239"/>
      <c r="I94" s="211"/>
      <c r="J94" s="212"/>
      <c r="K94" s="220"/>
      <c r="L94" s="229"/>
      <c r="M94" s="220"/>
      <c r="N94" s="148"/>
    </row>
    <row r="95" spans="1:14" ht="15.5" x14ac:dyDescent="0.35">
      <c r="A95" s="473"/>
      <c r="B95" s="260"/>
      <c r="C95" s="261"/>
      <c r="D95" s="261"/>
      <c r="E95" s="261"/>
      <c r="F95" s="265"/>
      <c r="G95" s="279"/>
      <c r="H95" s="280" t="s">
        <v>459</v>
      </c>
      <c r="I95" s="281"/>
      <c r="J95" s="282"/>
      <c r="K95" s="283"/>
      <c r="L95" s="89">
        <f>SUM(L88:L93)</f>
        <v>0</v>
      </c>
      <c r="M95" s="89">
        <f>SUM(M88:M93)</f>
        <v>0</v>
      </c>
      <c r="N95" s="219"/>
    </row>
    <row r="96" spans="1:14" x14ac:dyDescent="0.35">
      <c r="A96" s="473"/>
      <c r="B96" s="249"/>
      <c r="C96" s="251"/>
      <c r="D96" s="251"/>
      <c r="E96" s="251"/>
      <c r="F96" s="263"/>
      <c r="G96" s="263"/>
      <c r="H96" s="240"/>
      <c r="I96" s="240"/>
      <c r="J96" s="267"/>
      <c r="K96" s="240"/>
      <c r="L96" s="240"/>
      <c r="M96" s="240"/>
      <c r="N96" s="219"/>
    </row>
    <row r="97" spans="1:14" ht="18.5" x14ac:dyDescent="0.35">
      <c r="A97" s="473"/>
      <c r="B97" s="57">
        <v>78</v>
      </c>
      <c r="C97" s="35" t="s">
        <v>60</v>
      </c>
      <c r="D97" s="35" t="s">
        <v>183</v>
      </c>
      <c r="E97" s="40"/>
      <c r="F97" s="160" t="s">
        <v>292</v>
      </c>
      <c r="G97" s="216" t="s">
        <v>73</v>
      </c>
      <c r="H97" s="239" t="s">
        <v>522</v>
      </c>
      <c r="I97" s="211" t="s">
        <v>6</v>
      </c>
      <c r="J97" s="212">
        <v>1</v>
      </c>
      <c r="K97" s="312">
        <v>0</v>
      </c>
      <c r="L97" s="220">
        <f>K97*J97</f>
        <v>0</v>
      </c>
      <c r="M97" s="312">
        <v>0</v>
      </c>
      <c r="N97" s="219" t="s">
        <v>548</v>
      </c>
    </row>
    <row r="98" spans="1:14" x14ac:dyDescent="0.35">
      <c r="A98" s="473"/>
      <c r="B98" s="249"/>
      <c r="C98" s="251"/>
      <c r="D98" s="251"/>
      <c r="E98" s="251"/>
      <c r="F98" s="217"/>
      <c r="G98" s="217"/>
      <c r="H98" s="239"/>
      <c r="I98" s="211"/>
      <c r="J98" s="212"/>
      <c r="K98" s="220"/>
      <c r="L98" s="220"/>
      <c r="M98" s="220"/>
      <c r="N98" s="219"/>
    </row>
    <row r="99" spans="1:14" x14ac:dyDescent="0.35">
      <c r="A99" s="473"/>
      <c r="B99" s="249"/>
      <c r="C99" s="251"/>
      <c r="D99" s="251"/>
      <c r="E99" s="251"/>
      <c r="F99" s="217"/>
      <c r="G99" s="217" t="s">
        <v>74</v>
      </c>
      <c r="H99" s="213" t="s">
        <v>76</v>
      </c>
      <c r="I99" s="211" t="s">
        <v>279</v>
      </c>
      <c r="J99" s="212">
        <v>1</v>
      </c>
      <c r="K99" s="312">
        <v>0</v>
      </c>
      <c r="L99" s="229"/>
      <c r="M99" s="220">
        <f>K99*J99</f>
        <v>0</v>
      </c>
      <c r="N99" s="219"/>
    </row>
    <row r="100" spans="1:14" x14ac:dyDescent="0.35">
      <c r="A100" s="473"/>
      <c r="B100" s="249"/>
      <c r="C100" s="251"/>
      <c r="D100" s="251"/>
      <c r="E100" s="251"/>
      <c r="F100" s="217"/>
      <c r="G100" s="217"/>
      <c r="H100" s="239"/>
      <c r="I100" s="211"/>
      <c r="J100" s="212"/>
      <c r="K100" s="220"/>
      <c r="L100" s="220"/>
      <c r="M100" s="220"/>
      <c r="N100" s="219"/>
    </row>
    <row r="101" spans="1:14" ht="15.5" x14ac:dyDescent="0.35">
      <c r="A101" s="473"/>
      <c r="B101" s="260"/>
      <c r="C101" s="261"/>
      <c r="D101" s="261"/>
      <c r="E101" s="261"/>
      <c r="F101" s="262"/>
      <c r="G101" s="255"/>
      <c r="H101" s="234" t="s">
        <v>459</v>
      </c>
      <c r="I101" s="256"/>
      <c r="J101" s="257"/>
      <c r="K101" s="258"/>
      <c r="L101" s="89">
        <f>SUM(L97:L99)</f>
        <v>0</v>
      </c>
      <c r="M101" s="89">
        <f>SUM(M97:M99)</f>
        <v>0</v>
      </c>
      <c r="N101" s="219"/>
    </row>
    <row r="102" spans="1:14" s="135" customFormat="1" x14ac:dyDescent="0.35">
      <c r="A102" s="473"/>
      <c r="B102" s="249"/>
      <c r="C102" s="251"/>
      <c r="D102" s="251"/>
      <c r="E102" s="251"/>
      <c r="F102" s="263"/>
      <c r="G102" s="263"/>
      <c r="H102" s="240"/>
      <c r="I102" s="211"/>
      <c r="J102" s="212"/>
      <c r="K102" s="220"/>
      <c r="L102" s="240"/>
      <c r="M102" s="240"/>
      <c r="N102" s="253"/>
    </row>
    <row r="103" spans="1:14" s="135" customFormat="1" ht="18.5" x14ac:dyDescent="0.35">
      <c r="A103" s="473"/>
      <c r="B103" s="57">
        <v>79</v>
      </c>
      <c r="C103" s="35" t="s">
        <v>60</v>
      </c>
      <c r="D103" s="35" t="s">
        <v>185</v>
      </c>
      <c r="E103" s="40"/>
      <c r="F103" s="160" t="s">
        <v>428</v>
      </c>
      <c r="G103" s="216" t="s">
        <v>73</v>
      </c>
      <c r="H103" s="239" t="s">
        <v>429</v>
      </c>
      <c r="I103" s="211" t="s">
        <v>6</v>
      </c>
      <c r="J103" s="212">
        <v>1</v>
      </c>
      <c r="K103" s="312">
        <v>0</v>
      </c>
      <c r="L103" s="220">
        <f>K103*J103</f>
        <v>0</v>
      </c>
      <c r="M103" s="312">
        <v>0</v>
      </c>
      <c r="N103" s="165"/>
    </row>
    <row r="104" spans="1:14" s="135" customFormat="1" x14ac:dyDescent="0.35">
      <c r="A104" s="473"/>
      <c r="B104" s="249"/>
      <c r="C104" s="251"/>
      <c r="D104" s="251"/>
      <c r="E104" s="251"/>
      <c r="F104" s="217"/>
      <c r="G104" s="217"/>
      <c r="H104" s="239"/>
      <c r="I104" s="211"/>
      <c r="J104" s="212"/>
      <c r="K104" s="220"/>
      <c r="L104" s="220"/>
      <c r="M104" s="220"/>
      <c r="N104" s="148"/>
    </row>
    <row r="105" spans="1:14" s="135" customFormat="1" ht="15.5" x14ac:dyDescent="0.35">
      <c r="A105" s="473"/>
      <c r="B105" s="260"/>
      <c r="C105" s="261"/>
      <c r="D105" s="261"/>
      <c r="E105" s="261"/>
      <c r="F105" s="262"/>
      <c r="G105" s="255"/>
      <c r="H105" s="234" t="s">
        <v>459</v>
      </c>
      <c r="I105" s="256"/>
      <c r="J105" s="257"/>
      <c r="K105" s="258"/>
      <c r="L105" s="137">
        <f>SUM(L103)</f>
        <v>0</v>
      </c>
      <c r="M105" s="137">
        <f>SUM(M103)</f>
        <v>0</v>
      </c>
      <c r="N105" s="148"/>
    </row>
    <row r="106" spans="1:14" ht="15" thickBot="1" x14ac:dyDescent="0.4">
      <c r="A106" s="473"/>
      <c r="B106" s="249"/>
      <c r="C106" s="251"/>
      <c r="D106" s="251"/>
      <c r="E106" s="251"/>
      <c r="F106" s="251"/>
      <c r="G106" s="251"/>
      <c r="H106" s="229"/>
      <c r="I106" s="229"/>
      <c r="J106" s="268"/>
      <c r="K106" s="229"/>
      <c r="L106" s="229"/>
      <c r="M106" s="229"/>
      <c r="N106" s="148"/>
    </row>
    <row r="107" spans="1:14" ht="19" thickBot="1" x14ac:dyDescent="0.4">
      <c r="A107" s="473"/>
      <c r="B107" s="453" t="s">
        <v>56</v>
      </c>
      <c r="C107" s="454"/>
      <c r="D107" s="454"/>
      <c r="E107" s="454"/>
      <c r="F107" s="454"/>
      <c r="G107" s="140"/>
      <c r="H107" s="140" t="s">
        <v>459</v>
      </c>
      <c r="I107" s="50"/>
      <c r="J107" s="94"/>
      <c r="K107" s="51"/>
      <c r="L107" s="52">
        <f>L101+L95+L105</f>
        <v>0</v>
      </c>
      <c r="M107" s="53">
        <f>M101+M95+M105</f>
        <v>0</v>
      </c>
      <c r="N107" s="148"/>
    </row>
    <row r="108" spans="1:14" ht="19" thickBot="1" x14ac:dyDescent="0.4">
      <c r="A108" s="474"/>
      <c r="B108" s="293"/>
      <c r="C108" s="294"/>
      <c r="D108" s="294"/>
      <c r="E108" s="295"/>
      <c r="F108" s="296"/>
      <c r="G108" s="296"/>
      <c r="H108" s="297"/>
      <c r="I108" s="276"/>
      <c r="J108" s="298"/>
      <c r="K108" s="277"/>
      <c r="L108" s="278"/>
      <c r="M108" s="276"/>
      <c r="N108" s="149"/>
    </row>
    <row r="109" spans="1:14" ht="18.5" x14ac:dyDescent="0.35">
      <c r="A109" s="469" t="s">
        <v>71</v>
      </c>
      <c r="B109" s="56"/>
      <c r="C109" s="20"/>
      <c r="D109" s="20"/>
      <c r="E109" s="8"/>
      <c r="F109" s="13"/>
      <c r="G109" s="13"/>
      <c r="H109" s="141"/>
      <c r="I109" s="68"/>
      <c r="J109" s="95"/>
      <c r="K109" s="69"/>
      <c r="L109" s="69"/>
      <c r="M109" s="69"/>
      <c r="N109" s="146"/>
    </row>
    <row r="110" spans="1:14" ht="18.75" customHeight="1" x14ac:dyDescent="0.35">
      <c r="A110" s="470"/>
      <c r="B110" s="57"/>
      <c r="C110" s="35" t="s">
        <v>72</v>
      </c>
      <c r="D110" s="35" t="s">
        <v>685</v>
      </c>
      <c r="E110" s="40"/>
      <c r="F110" s="311"/>
      <c r="G110" s="161"/>
      <c r="H110" s="103"/>
      <c r="I110" s="68"/>
      <c r="J110" s="95"/>
      <c r="K110" s="69"/>
      <c r="L110" s="69"/>
      <c r="M110" s="69"/>
      <c r="N110" s="148" t="s">
        <v>680</v>
      </c>
    </row>
    <row r="111" spans="1:14" x14ac:dyDescent="0.35">
      <c r="A111" s="470"/>
      <c r="B111" s="56"/>
      <c r="C111" s="8"/>
      <c r="D111" s="8"/>
      <c r="E111" s="8"/>
      <c r="F111" s="13"/>
      <c r="G111" s="13"/>
      <c r="H111" s="103"/>
      <c r="I111" s="68"/>
      <c r="J111" s="95"/>
      <c r="K111" s="69"/>
      <c r="L111" s="69"/>
      <c r="M111" s="69"/>
      <c r="N111" s="148"/>
    </row>
    <row r="112" spans="1:14" ht="15.5" x14ac:dyDescent="0.35">
      <c r="A112" s="470"/>
      <c r="B112" s="76"/>
      <c r="C112" s="77"/>
      <c r="D112" s="77"/>
      <c r="E112" s="77"/>
      <c r="F112" s="30"/>
      <c r="G112" s="31"/>
      <c r="H112" s="32" t="s">
        <v>459</v>
      </c>
      <c r="I112" s="33"/>
      <c r="J112" s="98"/>
      <c r="K112" s="34"/>
      <c r="L112" s="137">
        <f>SUM(L110:L110)</f>
        <v>0</v>
      </c>
      <c r="M112" s="137">
        <f>SUM(M110:M110)</f>
        <v>0</v>
      </c>
      <c r="N112" s="148"/>
    </row>
    <row r="113" spans="1:14" ht="15" thickBot="1" x14ac:dyDescent="0.4">
      <c r="A113" s="470"/>
      <c r="B113" s="56"/>
      <c r="C113" s="8"/>
      <c r="D113" s="8"/>
      <c r="E113" s="8"/>
      <c r="F113" s="8"/>
      <c r="G113" s="8"/>
      <c r="H113" s="141"/>
      <c r="I113" s="141"/>
      <c r="J113" s="162"/>
      <c r="K113" s="141"/>
      <c r="L113" s="141"/>
      <c r="M113" s="141"/>
      <c r="N113" s="148"/>
    </row>
    <row r="114" spans="1:14" ht="19" thickBot="1" x14ac:dyDescent="0.4">
      <c r="A114" s="470"/>
      <c r="B114" s="453" t="s">
        <v>57</v>
      </c>
      <c r="C114" s="454"/>
      <c r="D114" s="454"/>
      <c r="E114" s="454"/>
      <c r="F114" s="454"/>
      <c r="G114" s="140"/>
      <c r="H114" s="140" t="s">
        <v>459</v>
      </c>
      <c r="I114" s="50"/>
      <c r="J114" s="94"/>
      <c r="K114" s="51"/>
      <c r="L114" s="52">
        <f>L112</f>
        <v>0</v>
      </c>
      <c r="M114" s="53">
        <f>M112</f>
        <v>0</v>
      </c>
      <c r="N114" s="148"/>
    </row>
    <row r="115" spans="1:14" ht="19" thickBot="1" x14ac:dyDescent="0.4">
      <c r="A115" s="471"/>
      <c r="B115" s="58"/>
      <c r="C115" s="21"/>
      <c r="D115" s="21"/>
      <c r="E115" s="14"/>
      <c r="F115" s="15"/>
      <c r="G115" s="15"/>
      <c r="H115" s="16"/>
      <c r="I115" s="17"/>
      <c r="J115" s="96"/>
      <c r="K115" s="22"/>
      <c r="L115" s="23"/>
      <c r="M115" s="24"/>
      <c r="N115" s="149"/>
    </row>
    <row r="116" spans="1:14" x14ac:dyDescent="0.35">
      <c r="A116" s="78"/>
      <c r="J116" s="99"/>
    </row>
    <row r="117" spans="1:14" x14ac:dyDescent="0.35">
      <c r="A117" s="78"/>
      <c r="J117" s="99"/>
    </row>
    <row r="118" spans="1:14" x14ac:dyDescent="0.35">
      <c r="A118" s="78"/>
      <c r="J118" s="99"/>
    </row>
    <row r="119" spans="1:14" x14ac:dyDescent="0.35">
      <c r="A119" s="78"/>
      <c r="J119" s="99"/>
    </row>
    <row r="120" spans="1:14" x14ac:dyDescent="0.35">
      <c r="A120" s="78"/>
      <c r="J120" s="99"/>
    </row>
    <row r="121" spans="1:14" x14ac:dyDescent="0.35">
      <c r="A121" s="78"/>
      <c r="J121" s="99"/>
    </row>
    <row r="122" spans="1:14" x14ac:dyDescent="0.35">
      <c r="A122" s="78"/>
      <c r="J122" s="99"/>
    </row>
    <row r="123" spans="1:14" x14ac:dyDescent="0.35">
      <c r="A123" s="78"/>
      <c r="J123" s="99"/>
    </row>
    <row r="124" spans="1:14" x14ac:dyDescent="0.35">
      <c r="A124" s="78"/>
      <c r="J124" s="99"/>
    </row>
    <row r="125" spans="1:14" x14ac:dyDescent="0.35">
      <c r="A125" s="78"/>
      <c r="J125" s="99"/>
    </row>
    <row r="126" spans="1:14" x14ac:dyDescent="0.35">
      <c r="A126" s="78"/>
      <c r="J126" s="99"/>
    </row>
    <row r="127" spans="1:14" x14ac:dyDescent="0.35">
      <c r="A127" s="78"/>
      <c r="J127" s="99"/>
    </row>
    <row r="128" spans="1:14" x14ac:dyDescent="0.35">
      <c r="A128" s="78"/>
      <c r="J128" s="99"/>
    </row>
    <row r="129" spans="1:10" x14ac:dyDescent="0.35">
      <c r="A129" s="78"/>
      <c r="J129" s="99"/>
    </row>
    <row r="130" spans="1:10" x14ac:dyDescent="0.35">
      <c r="A130" s="78"/>
      <c r="J130" s="99"/>
    </row>
    <row r="131" spans="1:10" x14ac:dyDescent="0.35">
      <c r="A131" s="78"/>
      <c r="J131" s="99"/>
    </row>
    <row r="132" spans="1:10" x14ac:dyDescent="0.35">
      <c r="A132" s="78"/>
      <c r="J132" s="99"/>
    </row>
    <row r="133" spans="1:10" x14ac:dyDescent="0.35">
      <c r="A133" s="78"/>
      <c r="J133" s="99"/>
    </row>
    <row r="134" spans="1:10" x14ac:dyDescent="0.35">
      <c r="A134" s="78"/>
      <c r="J134" s="99"/>
    </row>
    <row r="135" spans="1:10" x14ac:dyDescent="0.35">
      <c r="A135" s="78"/>
      <c r="J135" s="99"/>
    </row>
    <row r="136" spans="1:10" x14ac:dyDescent="0.35">
      <c r="A136" s="78"/>
      <c r="J136" s="99"/>
    </row>
    <row r="137" spans="1:10" x14ac:dyDescent="0.35">
      <c r="A137" s="78"/>
      <c r="J137" s="99"/>
    </row>
    <row r="138" spans="1:10" x14ac:dyDescent="0.35">
      <c r="A138" s="78"/>
      <c r="J138" s="99"/>
    </row>
    <row r="139" spans="1:10" x14ac:dyDescent="0.35">
      <c r="A139" s="78"/>
      <c r="J139" s="99"/>
    </row>
    <row r="140" spans="1:10" x14ac:dyDescent="0.35">
      <c r="A140" s="78"/>
      <c r="J140" s="99"/>
    </row>
    <row r="141" spans="1:10" x14ac:dyDescent="0.35">
      <c r="A141" s="78"/>
      <c r="J141" s="99"/>
    </row>
    <row r="142" spans="1:10" x14ac:dyDescent="0.35">
      <c r="A142" s="78"/>
      <c r="J142" s="99"/>
    </row>
    <row r="143" spans="1:10" x14ac:dyDescent="0.35">
      <c r="A143" s="78"/>
      <c r="J143" s="99"/>
    </row>
    <row r="144" spans="1:10" x14ac:dyDescent="0.35">
      <c r="J144" s="99"/>
    </row>
    <row r="145" spans="10:10" x14ac:dyDescent="0.35">
      <c r="J145" s="99"/>
    </row>
    <row r="146" spans="10:10" x14ac:dyDescent="0.35">
      <c r="J146" s="99"/>
    </row>
    <row r="147" spans="10:10" x14ac:dyDescent="0.35">
      <c r="J147" s="99"/>
    </row>
    <row r="148" spans="10:10" x14ac:dyDescent="0.35">
      <c r="J148" s="99"/>
    </row>
    <row r="149" spans="10:10" x14ac:dyDescent="0.35">
      <c r="J149" s="99"/>
    </row>
    <row r="150" spans="10:10" x14ac:dyDescent="0.35">
      <c r="J150" s="99"/>
    </row>
    <row r="151" spans="10:10" x14ac:dyDescent="0.35">
      <c r="J151" s="99"/>
    </row>
    <row r="152" spans="10:10" x14ac:dyDescent="0.35">
      <c r="J152" s="99"/>
    </row>
    <row r="153" spans="10:10" x14ac:dyDescent="0.35">
      <c r="J153" s="99"/>
    </row>
    <row r="154" spans="10:10" x14ac:dyDescent="0.35">
      <c r="J154" s="99"/>
    </row>
    <row r="155" spans="10:10" x14ac:dyDescent="0.35">
      <c r="J155" s="99"/>
    </row>
    <row r="156" spans="10:10" x14ac:dyDescent="0.35">
      <c r="J156" s="99"/>
    </row>
    <row r="157" spans="10:10" x14ac:dyDescent="0.35">
      <c r="J157" s="99"/>
    </row>
    <row r="158" spans="10:10" x14ac:dyDescent="0.35">
      <c r="J158" s="99"/>
    </row>
    <row r="159" spans="10:10" x14ac:dyDescent="0.35">
      <c r="J159" s="99"/>
    </row>
    <row r="160" spans="10:10" x14ac:dyDescent="0.35">
      <c r="J160" s="99"/>
    </row>
    <row r="161" spans="10:10" x14ac:dyDescent="0.35">
      <c r="J161" s="99"/>
    </row>
    <row r="162" spans="10:10" x14ac:dyDescent="0.35">
      <c r="J162" s="99"/>
    </row>
    <row r="163" spans="10:10" x14ac:dyDescent="0.35">
      <c r="J163" s="99"/>
    </row>
    <row r="164" spans="10:10" x14ac:dyDescent="0.35">
      <c r="J164" s="99"/>
    </row>
    <row r="165" spans="10:10" x14ac:dyDescent="0.35">
      <c r="J165" s="99"/>
    </row>
    <row r="166" spans="10:10" x14ac:dyDescent="0.35">
      <c r="J166" s="99"/>
    </row>
    <row r="167" spans="10:10" x14ac:dyDescent="0.35">
      <c r="J167" s="99"/>
    </row>
    <row r="168" spans="10:10" x14ac:dyDescent="0.35">
      <c r="J168" s="99"/>
    </row>
    <row r="169" spans="10:10" x14ac:dyDescent="0.35">
      <c r="J169" s="99"/>
    </row>
    <row r="170" spans="10:10" x14ac:dyDescent="0.35">
      <c r="J170" s="99"/>
    </row>
    <row r="171" spans="10:10" x14ac:dyDescent="0.35">
      <c r="J171" s="99"/>
    </row>
    <row r="172" spans="10:10" x14ac:dyDescent="0.35">
      <c r="J172" s="99"/>
    </row>
    <row r="173" spans="10:10" x14ac:dyDescent="0.35">
      <c r="J173" s="99"/>
    </row>
    <row r="174" spans="10:10" x14ac:dyDescent="0.35">
      <c r="J174" s="99"/>
    </row>
    <row r="175" spans="10:10" x14ac:dyDescent="0.35">
      <c r="J175" s="99"/>
    </row>
    <row r="176" spans="10:10" x14ac:dyDescent="0.35">
      <c r="J176" s="99"/>
    </row>
    <row r="177" spans="10:10" x14ac:dyDescent="0.35">
      <c r="J177" s="99"/>
    </row>
    <row r="178" spans="10:10" x14ac:dyDescent="0.35">
      <c r="J178" s="99"/>
    </row>
    <row r="179" spans="10:10" x14ac:dyDescent="0.35">
      <c r="J179" s="99"/>
    </row>
    <row r="180" spans="10:10" x14ac:dyDescent="0.35">
      <c r="J180" s="99"/>
    </row>
    <row r="181" spans="10:10" x14ac:dyDescent="0.35">
      <c r="J181" s="99"/>
    </row>
    <row r="182" spans="10:10" x14ac:dyDescent="0.35">
      <c r="J182" s="99"/>
    </row>
    <row r="183" spans="10:10" x14ac:dyDescent="0.35">
      <c r="J183" s="99"/>
    </row>
    <row r="184" spans="10:10" x14ac:dyDescent="0.35">
      <c r="J184" s="99"/>
    </row>
    <row r="185" spans="10:10" x14ac:dyDescent="0.35">
      <c r="J185" s="99"/>
    </row>
    <row r="186" spans="10:10" x14ac:dyDescent="0.35">
      <c r="J186" s="99"/>
    </row>
    <row r="187" spans="10:10" x14ac:dyDescent="0.35">
      <c r="J187" s="99"/>
    </row>
    <row r="188" spans="10:10" x14ac:dyDescent="0.35">
      <c r="J188" s="99"/>
    </row>
    <row r="189" spans="10:10" x14ac:dyDescent="0.35">
      <c r="J189" s="99"/>
    </row>
    <row r="190" spans="10:10" x14ac:dyDescent="0.35">
      <c r="J190" s="99"/>
    </row>
    <row r="191" spans="10:10" x14ac:dyDescent="0.35">
      <c r="J191" s="99"/>
    </row>
    <row r="192" spans="10:10" x14ac:dyDescent="0.35">
      <c r="J192" s="99"/>
    </row>
    <row r="193" spans="10:10" x14ac:dyDescent="0.35">
      <c r="J193" s="99"/>
    </row>
    <row r="194" spans="10:10" x14ac:dyDescent="0.35">
      <c r="J194" s="99"/>
    </row>
    <row r="195" spans="10:10" x14ac:dyDescent="0.35">
      <c r="J195" s="99"/>
    </row>
    <row r="196" spans="10:10" x14ac:dyDescent="0.35">
      <c r="J196" s="99"/>
    </row>
    <row r="197" spans="10:10" x14ac:dyDescent="0.35">
      <c r="J197" s="99"/>
    </row>
    <row r="198" spans="10:10" x14ac:dyDescent="0.35">
      <c r="J198" s="99"/>
    </row>
    <row r="199" spans="10:10" x14ac:dyDescent="0.35">
      <c r="J199" s="99"/>
    </row>
    <row r="200" spans="10:10" x14ac:dyDescent="0.35">
      <c r="J200" s="99"/>
    </row>
    <row r="201" spans="10:10" x14ac:dyDescent="0.35">
      <c r="J201" s="99"/>
    </row>
    <row r="202" spans="10:10" x14ac:dyDescent="0.35">
      <c r="J202" s="99"/>
    </row>
    <row r="203" spans="10:10" x14ac:dyDescent="0.35">
      <c r="J203" s="99"/>
    </row>
    <row r="204" spans="10:10" x14ac:dyDescent="0.35">
      <c r="J204" s="99"/>
    </row>
    <row r="205" spans="10:10" x14ac:dyDescent="0.35">
      <c r="J205" s="99"/>
    </row>
    <row r="206" spans="10:10" x14ac:dyDescent="0.35">
      <c r="J206" s="99"/>
    </row>
    <row r="207" spans="10:10" x14ac:dyDescent="0.35">
      <c r="J207" s="99"/>
    </row>
    <row r="208" spans="10:10" x14ac:dyDescent="0.35">
      <c r="J208" s="99"/>
    </row>
    <row r="209" spans="10:10" x14ac:dyDescent="0.35">
      <c r="J209" s="99"/>
    </row>
    <row r="210" spans="10:10" x14ac:dyDescent="0.35">
      <c r="J210" s="99"/>
    </row>
    <row r="211" spans="10:10" x14ac:dyDescent="0.35">
      <c r="J211" s="99"/>
    </row>
    <row r="212" spans="10:10" x14ac:dyDescent="0.35">
      <c r="J212" s="99"/>
    </row>
    <row r="213" spans="10:10" x14ac:dyDescent="0.35">
      <c r="J213" s="99"/>
    </row>
    <row r="214" spans="10:10" x14ac:dyDescent="0.35">
      <c r="J214" s="99"/>
    </row>
    <row r="215" spans="10:10" x14ac:dyDescent="0.35">
      <c r="J215" s="99"/>
    </row>
    <row r="216" spans="10:10" x14ac:dyDescent="0.35">
      <c r="J216" s="99"/>
    </row>
    <row r="217" spans="10:10" x14ac:dyDescent="0.35">
      <c r="J217" s="99"/>
    </row>
    <row r="218" spans="10:10" x14ac:dyDescent="0.35">
      <c r="J218" s="99"/>
    </row>
    <row r="219" spans="10:10" x14ac:dyDescent="0.35">
      <c r="J219" s="99"/>
    </row>
    <row r="220" spans="10:10" x14ac:dyDescent="0.35">
      <c r="J220" s="99"/>
    </row>
    <row r="221" spans="10:10" x14ac:dyDescent="0.35">
      <c r="J221" s="99"/>
    </row>
    <row r="222" spans="10:10" x14ac:dyDescent="0.35">
      <c r="J222" s="99"/>
    </row>
    <row r="223" spans="10:10" x14ac:dyDescent="0.35">
      <c r="J223" s="99"/>
    </row>
    <row r="224" spans="10:10" x14ac:dyDescent="0.35">
      <c r="J224" s="99"/>
    </row>
    <row r="225" spans="10:10" x14ac:dyDescent="0.35">
      <c r="J225" s="99"/>
    </row>
    <row r="226" spans="10:10" x14ac:dyDescent="0.35">
      <c r="J226" s="99"/>
    </row>
    <row r="227" spans="10:10" x14ac:dyDescent="0.35">
      <c r="J227" s="99"/>
    </row>
    <row r="228" spans="10:10" x14ac:dyDescent="0.35">
      <c r="J228" s="99"/>
    </row>
    <row r="229" spans="10:10" x14ac:dyDescent="0.35">
      <c r="J229" s="99"/>
    </row>
    <row r="230" spans="10:10" x14ac:dyDescent="0.35">
      <c r="J230" s="99"/>
    </row>
    <row r="231" spans="10:10" x14ac:dyDescent="0.35">
      <c r="J231" s="99"/>
    </row>
    <row r="232" spans="10:10" x14ac:dyDescent="0.35">
      <c r="J232" s="99"/>
    </row>
    <row r="233" spans="10:10" x14ac:dyDescent="0.35">
      <c r="J233" s="99"/>
    </row>
    <row r="234" spans="10:10" x14ac:dyDescent="0.35">
      <c r="J234" s="99"/>
    </row>
    <row r="235" spans="10:10" x14ac:dyDescent="0.35">
      <c r="J235" s="99"/>
    </row>
    <row r="236" spans="10:10" x14ac:dyDescent="0.35">
      <c r="J236" s="99"/>
    </row>
    <row r="237" spans="10:10" x14ac:dyDescent="0.35">
      <c r="J237" s="99"/>
    </row>
    <row r="238" spans="10:10" x14ac:dyDescent="0.35">
      <c r="J238" s="99"/>
    </row>
    <row r="239" spans="10:10" x14ac:dyDescent="0.35">
      <c r="J239" s="99"/>
    </row>
    <row r="240" spans="10:10" x14ac:dyDescent="0.35">
      <c r="J240" s="99"/>
    </row>
    <row r="241" spans="10:10" x14ac:dyDescent="0.35">
      <c r="J241" s="99"/>
    </row>
    <row r="242" spans="10:10" x14ac:dyDescent="0.35">
      <c r="J242" s="99"/>
    </row>
    <row r="243" spans="10:10" x14ac:dyDescent="0.35">
      <c r="J243" s="99"/>
    </row>
    <row r="244" spans="10:10" x14ac:dyDescent="0.35">
      <c r="J244" s="99"/>
    </row>
    <row r="245" spans="10:10" x14ac:dyDescent="0.35">
      <c r="J245" s="99"/>
    </row>
    <row r="246" spans="10:10" x14ac:dyDescent="0.35">
      <c r="J246" s="99"/>
    </row>
    <row r="247" spans="10:10" x14ac:dyDescent="0.35">
      <c r="J247" s="99"/>
    </row>
    <row r="248" spans="10:10" x14ac:dyDescent="0.35">
      <c r="J248" s="99"/>
    </row>
    <row r="249" spans="10:10" x14ac:dyDescent="0.35">
      <c r="J249" s="99"/>
    </row>
    <row r="250" spans="10:10" x14ac:dyDescent="0.35">
      <c r="J250" s="99"/>
    </row>
    <row r="251" spans="10:10" x14ac:dyDescent="0.35">
      <c r="J251" s="99"/>
    </row>
    <row r="252" spans="10:10" x14ac:dyDescent="0.35">
      <c r="J252" s="99"/>
    </row>
    <row r="253" spans="10:10" x14ac:dyDescent="0.35">
      <c r="J253" s="99"/>
    </row>
    <row r="254" spans="10:10" x14ac:dyDescent="0.35">
      <c r="J254" s="99"/>
    </row>
    <row r="255" spans="10:10" x14ac:dyDescent="0.35">
      <c r="J255" s="99"/>
    </row>
    <row r="256" spans="10:10" x14ac:dyDescent="0.35">
      <c r="J256" s="99"/>
    </row>
    <row r="257" spans="10:10" x14ac:dyDescent="0.35">
      <c r="J257" s="99"/>
    </row>
    <row r="258" spans="10:10" x14ac:dyDescent="0.35">
      <c r="J258" s="99"/>
    </row>
    <row r="259" spans="10:10" x14ac:dyDescent="0.35">
      <c r="J259" s="99"/>
    </row>
    <row r="260" spans="10:10" x14ac:dyDescent="0.35">
      <c r="J260" s="99"/>
    </row>
    <row r="261" spans="10:10" x14ac:dyDescent="0.35">
      <c r="J261" s="99"/>
    </row>
    <row r="262" spans="10:10" x14ac:dyDescent="0.35">
      <c r="J262" s="99"/>
    </row>
    <row r="263" spans="10:10" x14ac:dyDescent="0.35">
      <c r="J263" s="99"/>
    </row>
    <row r="264" spans="10:10" x14ac:dyDescent="0.35">
      <c r="J264" s="99"/>
    </row>
    <row r="265" spans="10:10" x14ac:dyDescent="0.35">
      <c r="J265" s="99"/>
    </row>
    <row r="266" spans="10:10" x14ac:dyDescent="0.35">
      <c r="J266" s="99"/>
    </row>
    <row r="267" spans="10:10" x14ac:dyDescent="0.35">
      <c r="J267" s="99"/>
    </row>
    <row r="268" spans="10:10" x14ac:dyDescent="0.35">
      <c r="J268" s="99"/>
    </row>
    <row r="269" spans="10:10" x14ac:dyDescent="0.35">
      <c r="J269" s="99"/>
    </row>
    <row r="270" spans="10:10" x14ac:dyDescent="0.35">
      <c r="J270" s="99"/>
    </row>
    <row r="271" spans="10:10" x14ac:dyDescent="0.35">
      <c r="J271" s="99"/>
    </row>
    <row r="272" spans="10:10" x14ac:dyDescent="0.35">
      <c r="J272" s="99"/>
    </row>
    <row r="273" spans="10:10" x14ac:dyDescent="0.35">
      <c r="J273" s="99"/>
    </row>
    <row r="274" spans="10:10" x14ac:dyDescent="0.35">
      <c r="J274" s="99"/>
    </row>
    <row r="275" spans="10:10" x14ac:dyDescent="0.35">
      <c r="J275" s="99"/>
    </row>
    <row r="276" spans="10:10" x14ac:dyDescent="0.35">
      <c r="J276" s="99"/>
    </row>
    <row r="277" spans="10:10" x14ac:dyDescent="0.35">
      <c r="J277" s="99"/>
    </row>
    <row r="278" spans="10:10" x14ac:dyDescent="0.35">
      <c r="J278" s="99"/>
    </row>
    <row r="279" spans="10:10" x14ac:dyDescent="0.35">
      <c r="J279" s="99"/>
    </row>
    <row r="280" spans="10:10" x14ac:dyDescent="0.35">
      <c r="J280" s="99"/>
    </row>
    <row r="281" spans="10:10" x14ac:dyDescent="0.35">
      <c r="J281" s="99"/>
    </row>
    <row r="282" spans="10:10" x14ac:dyDescent="0.35">
      <c r="J282" s="99"/>
    </row>
    <row r="283" spans="10:10" x14ac:dyDescent="0.35">
      <c r="J283" s="99"/>
    </row>
    <row r="284" spans="10:10" x14ac:dyDescent="0.35">
      <c r="J284" s="99"/>
    </row>
    <row r="285" spans="10:10" x14ac:dyDescent="0.35">
      <c r="J285" s="99"/>
    </row>
    <row r="286" spans="10:10" x14ac:dyDescent="0.35">
      <c r="J286" s="99"/>
    </row>
    <row r="287" spans="10:10" x14ac:dyDescent="0.35">
      <c r="J287" s="99"/>
    </row>
    <row r="288" spans="10:10" x14ac:dyDescent="0.35">
      <c r="J288" s="99"/>
    </row>
    <row r="289" spans="10:10" x14ac:dyDescent="0.35">
      <c r="J289" s="99"/>
    </row>
    <row r="290" spans="10:10" x14ac:dyDescent="0.35">
      <c r="J290" s="99"/>
    </row>
    <row r="291" spans="10:10" x14ac:dyDescent="0.35">
      <c r="J291" s="99"/>
    </row>
    <row r="292" spans="10:10" x14ac:dyDescent="0.35">
      <c r="J292" s="99"/>
    </row>
    <row r="293" spans="10:10" x14ac:dyDescent="0.35">
      <c r="J293" s="99"/>
    </row>
    <row r="294" spans="10:10" x14ac:dyDescent="0.35">
      <c r="J294" s="99"/>
    </row>
    <row r="295" spans="10:10" x14ac:dyDescent="0.35">
      <c r="J295" s="99"/>
    </row>
  </sheetData>
  <sheetProtection sheet="1" objects="1" scenarios="1"/>
  <mergeCells count="22">
    <mergeCell ref="A9:G9"/>
    <mergeCell ref="A2:N2"/>
    <mergeCell ref="A5:G5"/>
    <mergeCell ref="A6:G6"/>
    <mergeCell ref="A7:G7"/>
    <mergeCell ref="A8:G8"/>
    <mergeCell ref="A10:G10"/>
    <mergeCell ref="F14:G14"/>
    <mergeCell ref="B23:F23"/>
    <mergeCell ref="B63:F63"/>
    <mergeCell ref="A16:A24"/>
    <mergeCell ref="C14:D14"/>
    <mergeCell ref="A11:K11"/>
    <mergeCell ref="A109:A115"/>
    <mergeCell ref="B114:F114"/>
    <mergeCell ref="A26:A64"/>
    <mergeCell ref="A76:A86"/>
    <mergeCell ref="B85:F85"/>
    <mergeCell ref="A65:A75"/>
    <mergeCell ref="B74:F74"/>
    <mergeCell ref="A87:A108"/>
    <mergeCell ref="B107:F107"/>
  </mergeCells>
  <pageMargins left="0.23622047244094491" right="0.23622047244094491" top="0.15748031496062992" bottom="0.27559055118110237" header="0.15748031496062992" footer="0.11811023622047245"/>
  <pageSetup paperSize="9" scale="43" firstPageNumber="14" fitToHeight="0" orientation="landscape" useFirstPageNumber="1" horizontalDpi="1200" verticalDpi="1200" r:id="rId1"/>
  <headerFooter>
    <oddFooter>&amp;C&amp;P/43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N305"/>
  <sheetViews>
    <sheetView view="pageLayout" zoomScale="40" zoomScaleNormal="70" zoomScalePageLayoutView="40" workbookViewId="0">
      <selection activeCell="K17" sqref="K17"/>
    </sheetView>
  </sheetViews>
  <sheetFormatPr defaultColWidth="9.1796875" defaultRowHeight="14.5" x14ac:dyDescent="0.35"/>
  <cols>
    <col min="1" max="1" width="5" style="63" customWidth="1"/>
    <col min="2" max="2" width="5.7265625" style="54" customWidth="1"/>
    <col min="3" max="3" width="5.81640625" style="6" customWidth="1"/>
    <col min="4" max="4" width="7" style="6" customWidth="1"/>
    <col min="5" max="5" width="3.7265625" style="6" customWidth="1"/>
    <col min="6" max="6" width="50.7265625" style="6" customWidth="1"/>
    <col min="7" max="7" width="20.26953125" style="6" customWidth="1"/>
    <col min="8" max="8" width="55.7265625" style="63" customWidth="1"/>
    <col min="9" max="11" width="13.7265625" style="63" customWidth="1"/>
    <col min="12" max="13" width="25.7265625" style="63" customWidth="1"/>
    <col min="14" max="14" width="85.7265625" style="63" customWidth="1"/>
    <col min="15" max="15" width="13.7265625" style="63" customWidth="1"/>
    <col min="16" max="16384" width="9.1796875" style="63"/>
  </cols>
  <sheetData>
    <row r="2" spans="1:14" s="151" customFormat="1" ht="35.15" customHeight="1" x14ac:dyDescent="0.35">
      <c r="A2" s="467" t="s">
        <v>749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</row>
    <row r="3" spans="1:14" s="151" customFormat="1" ht="10" customHeight="1" thickBot="1" x14ac:dyDescent="0.4">
      <c r="A3" s="264"/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156"/>
      <c r="M3" s="156"/>
      <c r="N3" s="156"/>
    </row>
    <row r="4" spans="1:14" ht="26.5" thickBot="1" x14ac:dyDescent="0.4">
      <c r="A4" s="245"/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153" t="s">
        <v>7</v>
      </c>
      <c r="M4" s="153" t="s">
        <v>8</v>
      </c>
      <c r="N4" s="152"/>
    </row>
    <row r="5" spans="1:14" ht="18.5" x14ac:dyDescent="0.35">
      <c r="A5" s="457" t="s">
        <v>55</v>
      </c>
      <c r="B5" s="458"/>
      <c r="C5" s="458"/>
      <c r="D5" s="458"/>
      <c r="E5" s="458"/>
      <c r="F5" s="458"/>
      <c r="G5" s="458"/>
      <c r="H5" s="244"/>
      <c r="I5" s="244"/>
      <c r="J5" s="244"/>
      <c r="K5" s="244"/>
      <c r="L5" s="154">
        <f>L22</f>
        <v>0</v>
      </c>
      <c r="M5" s="154">
        <f>M22</f>
        <v>0</v>
      </c>
      <c r="N5" s="152"/>
    </row>
    <row r="6" spans="1:14" ht="18.5" x14ac:dyDescent="0.35">
      <c r="A6" s="457" t="s">
        <v>37</v>
      </c>
      <c r="B6" s="458"/>
      <c r="C6" s="458"/>
      <c r="D6" s="458"/>
      <c r="E6" s="458"/>
      <c r="F6" s="458"/>
      <c r="G6" s="458"/>
      <c r="H6" s="244"/>
      <c r="I6" s="244"/>
      <c r="J6" s="244"/>
      <c r="K6" s="244"/>
      <c r="L6" s="154">
        <f>L60</f>
        <v>0</v>
      </c>
      <c r="M6" s="154">
        <f>M60</f>
        <v>0</v>
      </c>
      <c r="N6" s="152"/>
    </row>
    <row r="7" spans="1:14" ht="18.5" x14ac:dyDescent="0.35">
      <c r="A7" s="457" t="s">
        <v>43</v>
      </c>
      <c r="B7" s="458"/>
      <c r="C7" s="458"/>
      <c r="D7" s="458"/>
      <c r="E7" s="458"/>
      <c r="F7" s="458"/>
      <c r="G7" s="458"/>
      <c r="H7" s="244"/>
      <c r="I7" s="244"/>
      <c r="J7" s="244"/>
      <c r="K7" s="244"/>
      <c r="L7" s="154">
        <f>L75</f>
        <v>0</v>
      </c>
      <c r="M7" s="154">
        <f>M75</f>
        <v>0</v>
      </c>
      <c r="N7" s="152"/>
    </row>
    <row r="8" spans="1:14" ht="18.5" x14ac:dyDescent="0.35">
      <c r="A8" s="457" t="s">
        <v>45</v>
      </c>
      <c r="B8" s="458"/>
      <c r="C8" s="458"/>
      <c r="D8" s="458"/>
      <c r="E8" s="458"/>
      <c r="F8" s="458"/>
      <c r="G8" s="458"/>
      <c r="H8" s="244"/>
      <c r="I8" s="244"/>
      <c r="J8" s="244"/>
      <c r="K8" s="244"/>
      <c r="L8" s="154">
        <f>L90</f>
        <v>0</v>
      </c>
      <c r="M8" s="154">
        <f>M90</f>
        <v>0</v>
      </c>
      <c r="N8" s="152"/>
    </row>
    <row r="9" spans="1:14" ht="18.5" x14ac:dyDescent="0.35">
      <c r="A9" s="457" t="s">
        <v>56</v>
      </c>
      <c r="B9" s="458"/>
      <c r="C9" s="458"/>
      <c r="D9" s="458"/>
      <c r="E9" s="458"/>
      <c r="F9" s="458"/>
      <c r="G9" s="458"/>
      <c r="H9" s="244"/>
      <c r="I9" s="244"/>
      <c r="J9" s="244"/>
      <c r="K9" s="244"/>
      <c r="L9" s="154">
        <f>L106</f>
        <v>0</v>
      </c>
      <c r="M9" s="154">
        <f>M106</f>
        <v>0</v>
      </c>
      <c r="N9" s="152"/>
    </row>
    <row r="10" spans="1:14" ht="19" thickBot="1" x14ac:dyDescent="0.4">
      <c r="A10" s="457" t="s">
        <v>57</v>
      </c>
      <c r="B10" s="458"/>
      <c r="C10" s="458"/>
      <c r="D10" s="458"/>
      <c r="E10" s="458"/>
      <c r="F10" s="458"/>
      <c r="G10" s="458"/>
      <c r="H10" s="244"/>
      <c r="I10" s="244"/>
      <c r="J10" s="244"/>
      <c r="K10" s="244"/>
      <c r="L10" s="154">
        <f>L113</f>
        <v>0</v>
      </c>
      <c r="M10" s="154">
        <f>M113</f>
        <v>0</v>
      </c>
      <c r="N10" s="152"/>
    </row>
    <row r="11" spans="1:14" ht="26.5" thickBot="1" x14ac:dyDescent="0.4">
      <c r="A11" s="465" t="s">
        <v>463</v>
      </c>
      <c r="B11" s="458"/>
      <c r="C11" s="458"/>
      <c r="D11" s="458"/>
      <c r="E11" s="458"/>
      <c r="F11" s="458"/>
      <c r="G11" s="458"/>
      <c r="H11" s="458"/>
      <c r="I11" s="458"/>
      <c r="J11" s="458"/>
      <c r="K11" s="466"/>
      <c r="L11" s="155">
        <f>SUM(L5:L10)</f>
        <v>0</v>
      </c>
      <c r="M11" s="155">
        <f>SUM(M5:M10)</f>
        <v>0</v>
      </c>
      <c r="N11" s="152"/>
    </row>
    <row r="12" spans="1:14" ht="26" x14ac:dyDescent="0.35">
      <c r="A12" s="246"/>
      <c r="B12" s="247"/>
      <c r="C12" s="248"/>
      <c r="D12" s="248"/>
      <c r="E12" s="248"/>
      <c r="F12" s="248"/>
      <c r="G12" s="248"/>
      <c r="H12" s="248"/>
      <c r="I12" s="248"/>
      <c r="J12" s="248"/>
      <c r="K12" s="248"/>
    </row>
    <row r="13" spans="1:14" ht="19" thickBot="1" x14ac:dyDescent="0.4">
      <c r="A13" s="248"/>
      <c r="B13" s="269"/>
      <c r="C13" s="270"/>
      <c r="D13" s="270"/>
      <c r="E13" s="271"/>
      <c r="F13" s="271"/>
      <c r="G13" s="271"/>
      <c r="H13" s="248"/>
      <c r="I13" s="248"/>
      <c r="J13" s="248"/>
      <c r="K13" s="248"/>
    </row>
    <row r="14" spans="1:14" s="1" customFormat="1" ht="30.75" customHeight="1" thickBot="1" x14ac:dyDescent="0.4">
      <c r="A14" s="27" t="s">
        <v>25</v>
      </c>
      <c r="B14" s="27" t="s">
        <v>26</v>
      </c>
      <c r="C14" s="464" t="s">
        <v>27</v>
      </c>
      <c r="D14" s="460"/>
      <c r="E14" s="5"/>
      <c r="F14" s="459" t="s">
        <v>11</v>
      </c>
      <c r="G14" s="460"/>
      <c r="H14" s="4" t="s">
        <v>48</v>
      </c>
      <c r="I14" s="4" t="s">
        <v>0</v>
      </c>
      <c r="J14" s="4" t="s">
        <v>1</v>
      </c>
      <c r="K14" s="4" t="s">
        <v>2</v>
      </c>
      <c r="L14" s="4" t="s">
        <v>7</v>
      </c>
      <c r="M14" s="4" t="s">
        <v>8</v>
      </c>
      <c r="N14" s="4" t="s">
        <v>3</v>
      </c>
    </row>
    <row r="15" spans="1:14" s="204" customFormat="1" ht="15" customHeight="1" thickBot="1" x14ac:dyDescent="0.4">
      <c r="A15" s="285"/>
      <c r="B15" s="286"/>
      <c r="C15" s="287"/>
      <c r="D15" s="287"/>
      <c r="E15" s="271"/>
      <c r="F15" s="288"/>
      <c r="G15" s="288"/>
      <c r="H15" s="288"/>
      <c r="I15" s="288"/>
      <c r="J15" s="288"/>
      <c r="K15" s="288"/>
      <c r="L15" s="288"/>
      <c r="M15" s="288"/>
      <c r="N15" s="288"/>
    </row>
    <row r="16" spans="1:14" ht="18.5" x14ac:dyDescent="0.35">
      <c r="A16" s="476" t="s">
        <v>41</v>
      </c>
      <c r="B16" s="55"/>
      <c r="C16" s="45"/>
      <c r="D16" s="45"/>
      <c r="E16" s="46"/>
      <c r="F16" s="47"/>
      <c r="G16" s="47"/>
      <c r="H16" s="44"/>
      <c r="I16" s="48"/>
      <c r="J16" s="92"/>
      <c r="K16" s="49"/>
      <c r="L16" s="49"/>
      <c r="M16" s="49"/>
      <c r="N16" s="146"/>
    </row>
    <row r="17" spans="1:14" ht="27.75" customHeight="1" x14ac:dyDescent="0.35">
      <c r="A17" s="462"/>
      <c r="B17" s="57">
        <v>103</v>
      </c>
      <c r="C17" s="35" t="s">
        <v>9</v>
      </c>
      <c r="D17" s="35" t="s">
        <v>224</v>
      </c>
      <c r="E17" s="36"/>
      <c r="F17" s="37" t="s">
        <v>203</v>
      </c>
      <c r="G17" s="10"/>
      <c r="H17" s="88" t="s">
        <v>719</v>
      </c>
      <c r="I17" s="68" t="s">
        <v>4</v>
      </c>
      <c r="J17" s="95">
        <f>7.275*2.8</f>
        <v>20.37</v>
      </c>
      <c r="K17" s="312">
        <v>0</v>
      </c>
      <c r="L17" s="141"/>
      <c r="M17" s="69">
        <f>K17*J17</f>
        <v>0</v>
      </c>
      <c r="N17" s="147"/>
    </row>
    <row r="18" spans="1:14" ht="21" customHeight="1" x14ac:dyDescent="0.35">
      <c r="A18" s="462"/>
      <c r="B18" s="249"/>
      <c r="C18" s="259"/>
      <c r="D18" s="259"/>
      <c r="E18" s="303"/>
      <c r="F18" s="304"/>
      <c r="G18" s="10"/>
      <c r="H18" s="103" t="s">
        <v>223</v>
      </c>
      <c r="I18" s="68" t="s">
        <v>4</v>
      </c>
      <c r="J18" s="95">
        <f>(8*8)/2</f>
        <v>32</v>
      </c>
      <c r="K18" s="312">
        <v>0</v>
      </c>
      <c r="L18" s="141"/>
      <c r="M18" s="69">
        <f>K18*J18</f>
        <v>0</v>
      </c>
      <c r="N18" s="147"/>
    </row>
    <row r="19" spans="1:14" ht="18.5" x14ac:dyDescent="0.35">
      <c r="A19" s="462"/>
      <c r="B19" s="306"/>
      <c r="C19" s="307"/>
      <c r="D19" s="307"/>
      <c r="E19" s="251"/>
      <c r="F19" s="217"/>
      <c r="G19" s="13"/>
      <c r="H19" s="141"/>
      <c r="I19" s="68"/>
      <c r="J19" s="95"/>
      <c r="K19" s="69"/>
      <c r="L19" s="69"/>
      <c r="M19" s="69"/>
      <c r="N19" s="148"/>
    </row>
    <row r="20" spans="1:14" ht="18.5" x14ac:dyDescent="0.35">
      <c r="A20" s="462"/>
      <c r="B20" s="57">
        <v>104</v>
      </c>
      <c r="C20" s="35" t="s">
        <v>9</v>
      </c>
      <c r="D20" s="35" t="s">
        <v>225</v>
      </c>
      <c r="E20" s="40"/>
      <c r="F20" s="39" t="s">
        <v>144</v>
      </c>
      <c r="G20" s="13"/>
      <c r="H20" s="103" t="s">
        <v>531</v>
      </c>
      <c r="I20" s="68" t="s">
        <v>4</v>
      </c>
      <c r="J20" s="95">
        <f>1.29*1.8*2+1.255*1.8</f>
        <v>6.9030000000000005</v>
      </c>
      <c r="K20" s="312">
        <v>0</v>
      </c>
      <c r="L20" s="69">
        <f>K20*J20</f>
        <v>0</v>
      </c>
      <c r="M20" s="312">
        <v>0</v>
      </c>
      <c r="N20" s="148"/>
    </row>
    <row r="21" spans="1:14" ht="15" customHeight="1" thickBot="1" x14ac:dyDescent="0.4">
      <c r="A21" s="462"/>
      <c r="B21" s="56"/>
      <c r="C21" s="20"/>
      <c r="D21" s="20"/>
      <c r="E21" s="8"/>
      <c r="F21" s="26"/>
      <c r="G21" s="13"/>
      <c r="H21" s="103"/>
      <c r="I21" s="68"/>
      <c r="J21" s="95"/>
      <c r="K21" s="69"/>
      <c r="L21" s="69"/>
      <c r="M21" s="69"/>
      <c r="N21" s="148"/>
    </row>
    <row r="22" spans="1:14" ht="19" thickBot="1" x14ac:dyDescent="0.4">
      <c r="A22" s="462"/>
      <c r="B22" s="453" t="s">
        <v>13</v>
      </c>
      <c r="C22" s="454"/>
      <c r="D22" s="454"/>
      <c r="E22" s="454"/>
      <c r="F22" s="454"/>
      <c r="G22" s="140"/>
      <c r="H22" s="140" t="s">
        <v>459</v>
      </c>
      <c r="I22" s="50"/>
      <c r="J22" s="94"/>
      <c r="K22" s="51"/>
      <c r="L22" s="52">
        <f>SUM(L17:L20)</f>
        <v>0</v>
      </c>
      <c r="M22" s="53">
        <f>SUM(M17:M20)</f>
        <v>0</v>
      </c>
      <c r="N22" s="148"/>
    </row>
    <row r="23" spans="1:14" ht="19" thickBot="1" x14ac:dyDescent="0.4">
      <c r="A23" s="463"/>
      <c r="B23" s="58"/>
      <c r="C23" s="21"/>
      <c r="D23" s="21"/>
      <c r="E23" s="14"/>
      <c r="F23" s="15"/>
      <c r="G23" s="15"/>
      <c r="H23" s="16"/>
      <c r="I23" s="17"/>
      <c r="J23" s="96"/>
      <c r="K23" s="277"/>
      <c r="L23" s="278"/>
      <c r="M23" s="276"/>
      <c r="N23" s="148"/>
    </row>
    <row r="24" spans="1:14" ht="18" customHeight="1" x14ac:dyDescent="0.35">
      <c r="A24" s="469" t="s">
        <v>40</v>
      </c>
      <c r="B24" s="56"/>
      <c r="C24" s="8"/>
      <c r="D24" s="8"/>
      <c r="E24" s="8"/>
      <c r="F24" s="8"/>
      <c r="G24" s="8"/>
      <c r="H24" s="141"/>
      <c r="I24" s="141"/>
      <c r="J24" s="162"/>
      <c r="K24" s="141"/>
      <c r="L24" s="141"/>
      <c r="M24" s="141"/>
      <c r="N24" s="146"/>
    </row>
    <row r="25" spans="1:14" ht="18" customHeight="1" x14ac:dyDescent="0.35">
      <c r="A25" s="470"/>
      <c r="B25" s="57">
        <v>105</v>
      </c>
      <c r="C25" s="35" t="s">
        <v>14</v>
      </c>
      <c r="D25" s="35" t="s">
        <v>224</v>
      </c>
      <c r="E25" s="40"/>
      <c r="F25" s="160" t="s">
        <v>228</v>
      </c>
      <c r="G25" s="161" t="s">
        <v>16</v>
      </c>
      <c r="H25" s="103" t="s">
        <v>523</v>
      </c>
      <c r="I25" s="68" t="s">
        <v>4</v>
      </c>
      <c r="J25" s="95">
        <f>10*3.14*0.075*0.075*2</f>
        <v>0.35325000000000001</v>
      </c>
      <c r="K25" s="312">
        <v>0</v>
      </c>
      <c r="L25" s="69">
        <f>K25*J25</f>
        <v>0</v>
      </c>
      <c r="M25" s="312">
        <v>0</v>
      </c>
      <c r="N25" s="148"/>
    </row>
    <row r="26" spans="1:14" ht="18" customHeight="1" x14ac:dyDescent="0.35">
      <c r="A26" s="470"/>
      <c r="B26" s="249"/>
      <c r="C26" s="259"/>
      <c r="D26" s="259"/>
      <c r="E26" s="251"/>
      <c r="F26" s="241"/>
      <c r="G26" s="161"/>
      <c r="H26" s="103" t="s">
        <v>524</v>
      </c>
      <c r="I26" s="68" t="s">
        <v>4</v>
      </c>
      <c r="J26" s="95">
        <f>10*3.14*0.15/2</f>
        <v>2.355</v>
      </c>
      <c r="K26" s="312">
        <v>0</v>
      </c>
      <c r="L26" s="69">
        <f>K26*J26</f>
        <v>0</v>
      </c>
      <c r="M26" s="312">
        <v>0</v>
      </c>
      <c r="N26" s="148"/>
    </row>
    <row r="27" spans="1:14" ht="18" customHeight="1" x14ac:dyDescent="0.35">
      <c r="A27" s="470"/>
      <c r="B27" s="249"/>
      <c r="C27" s="259"/>
      <c r="D27" s="259"/>
      <c r="E27" s="251"/>
      <c r="F27" s="241"/>
      <c r="G27" s="161"/>
      <c r="H27" s="103" t="s">
        <v>525</v>
      </c>
      <c r="I27" s="68" t="s">
        <v>6</v>
      </c>
      <c r="J27" s="95">
        <f>0.6+0.4+0.4+0.4+0.3+2.3+0.4+0.4+0.5+0.8</f>
        <v>6.5</v>
      </c>
      <c r="K27" s="312">
        <v>0</v>
      </c>
      <c r="L27" s="69">
        <f>K27*J27</f>
        <v>0</v>
      </c>
      <c r="M27" s="312">
        <v>0</v>
      </c>
      <c r="N27" s="148"/>
    </row>
    <row r="28" spans="1:14" ht="18" customHeight="1" x14ac:dyDescent="0.35">
      <c r="A28" s="470"/>
      <c r="B28" s="249"/>
      <c r="C28" s="259"/>
      <c r="D28" s="259"/>
      <c r="E28" s="251"/>
      <c r="F28" s="241"/>
      <c r="G28" s="161"/>
      <c r="H28" s="103"/>
      <c r="I28" s="68"/>
      <c r="J28" s="95"/>
      <c r="K28" s="69"/>
      <c r="L28" s="69"/>
      <c r="M28" s="69"/>
      <c r="N28" s="148"/>
    </row>
    <row r="29" spans="1:14" ht="18" customHeight="1" x14ac:dyDescent="0.35">
      <c r="A29" s="470"/>
      <c r="B29" s="249"/>
      <c r="C29" s="259"/>
      <c r="D29" s="259"/>
      <c r="E29" s="251"/>
      <c r="F29" s="241"/>
      <c r="G29" s="161" t="s">
        <v>17</v>
      </c>
      <c r="H29" s="103" t="s">
        <v>230</v>
      </c>
      <c r="I29" s="68" t="s">
        <v>6</v>
      </c>
      <c r="J29" s="95">
        <f>10*3+3</f>
        <v>33</v>
      </c>
      <c r="K29" s="312">
        <v>0</v>
      </c>
      <c r="L29" s="69">
        <f>K29*J29</f>
        <v>0</v>
      </c>
      <c r="M29" s="312">
        <v>0</v>
      </c>
      <c r="N29" s="148"/>
    </row>
    <row r="30" spans="1:14" ht="18" customHeight="1" x14ac:dyDescent="0.35">
      <c r="A30" s="470"/>
      <c r="B30" s="249"/>
      <c r="C30" s="251"/>
      <c r="D30" s="251"/>
      <c r="E30" s="251"/>
      <c r="F30" s="315"/>
      <c r="G30" s="161"/>
      <c r="H30" s="103"/>
      <c r="I30" s="68"/>
      <c r="J30" s="95"/>
      <c r="K30" s="69"/>
      <c r="L30" s="69"/>
      <c r="M30" s="69"/>
      <c r="N30" s="148"/>
    </row>
    <row r="31" spans="1:14" ht="18" customHeight="1" x14ac:dyDescent="0.35">
      <c r="A31" s="470"/>
      <c r="B31" s="249"/>
      <c r="C31" s="251"/>
      <c r="D31" s="251"/>
      <c r="E31" s="251"/>
      <c r="F31" s="315"/>
      <c r="G31" s="161" t="s">
        <v>18</v>
      </c>
      <c r="H31" s="103" t="s">
        <v>375</v>
      </c>
      <c r="I31" s="211" t="s">
        <v>4</v>
      </c>
      <c r="J31" s="212">
        <f>J27</f>
        <v>6.5</v>
      </c>
      <c r="K31" s="312">
        <v>0</v>
      </c>
      <c r="L31" s="220">
        <f>K31*J31</f>
        <v>0</v>
      </c>
      <c r="M31" s="312">
        <v>0</v>
      </c>
      <c r="N31" s="148" t="s">
        <v>519</v>
      </c>
    </row>
    <row r="32" spans="1:14" s="135" customFormat="1" ht="18" customHeight="1" x14ac:dyDescent="0.35">
      <c r="A32" s="470"/>
      <c r="B32" s="249"/>
      <c r="C32" s="251"/>
      <c r="D32" s="251"/>
      <c r="E32" s="251"/>
      <c r="F32" s="314"/>
      <c r="G32" s="161"/>
      <c r="H32" s="103" t="s">
        <v>407</v>
      </c>
      <c r="I32" s="211" t="s">
        <v>4</v>
      </c>
      <c r="J32" s="212">
        <f>7.275*2.8</f>
        <v>20.37</v>
      </c>
      <c r="K32" s="312">
        <v>0</v>
      </c>
      <c r="L32" s="220">
        <f>K32*J32</f>
        <v>0</v>
      </c>
      <c r="M32" s="312">
        <v>0</v>
      </c>
      <c r="N32" s="148" t="s">
        <v>519</v>
      </c>
    </row>
    <row r="33" spans="1:14" ht="18" customHeight="1" x14ac:dyDescent="0.35">
      <c r="A33" s="470"/>
      <c r="B33" s="249"/>
      <c r="C33" s="251"/>
      <c r="D33" s="251"/>
      <c r="E33" s="251"/>
      <c r="F33" s="217"/>
      <c r="G33" s="161"/>
      <c r="H33" s="103" t="s">
        <v>376</v>
      </c>
      <c r="I33" s="211" t="s">
        <v>4</v>
      </c>
      <c r="J33" s="212">
        <f>7.275*2.8</f>
        <v>20.37</v>
      </c>
      <c r="K33" s="312">
        <v>0</v>
      </c>
      <c r="L33" s="220">
        <f>K33*J33</f>
        <v>0</v>
      </c>
      <c r="M33" s="312">
        <v>0</v>
      </c>
      <c r="N33" s="148" t="s">
        <v>519</v>
      </c>
    </row>
    <row r="34" spans="1:14" ht="18" customHeight="1" x14ac:dyDescent="0.35">
      <c r="A34" s="470"/>
      <c r="B34" s="56"/>
      <c r="C34" s="8"/>
      <c r="D34" s="8"/>
      <c r="E34" s="8"/>
      <c r="F34" s="13"/>
      <c r="G34" s="161"/>
      <c r="H34" s="103"/>
      <c r="I34" s="68"/>
      <c r="J34" s="95"/>
      <c r="K34" s="69"/>
      <c r="L34" s="69"/>
      <c r="M34" s="69"/>
      <c r="N34" s="148"/>
    </row>
    <row r="35" spans="1:14" ht="18" customHeight="1" x14ac:dyDescent="0.35">
      <c r="A35" s="470"/>
      <c r="B35" s="56"/>
      <c r="C35" s="8"/>
      <c r="D35" s="8"/>
      <c r="E35" s="8"/>
      <c r="F35" s="13"/>
      <c r="G35" s="161" t="s">
        <v>19</v>
      </c>
      <c r="H35" s="103" t="s">
        <v>526</v>
      </c>
      <c r="I35" s="68" t="s">
        <v>4</v>
      </c>
      <c r="J35" s="95">
        <f>11*0.17*0.13</f>
        <v>0.24310000000000001</v>
      </c>
      <c r="K35" s="312">
        <v>0</v>
      </c>
      <c r="L35" s="69">
        <f>K35*J35</f>
        <v>0</v>
      </c>
      <c r="M35" s="312">
        <v>0</v>
      </c>
      <c r="N35" s="148"/>
    </row>
    <row r="36" spans="1:14" ht="18" customHeight="1" x14ac:dyDescent="0.35">
      <c r="A36" s="470"/>
      <c r="B36" s="56"/>
      <c r="C36" s="8"/>
      <c r="D36" s="8"/>
      <c r="E36" s="8"/>
      <c r="F36" s="13"/>
      <c r="G36" s="161"/>
      <c r="H36" s="103"/>
      <c r="I36" s="68"/>
      <c r="J36" s="95"/>
      <c r="K36" s="69"/>
      <c r="L36" s="69"/>
      <c r="M36" s="69"/>
      <c r="N36" s="148"/>
    </row>
    <row r="37" spans="1:14" ht="18" customHeight="1" x14ac:dyDescent="0.35">
      <c r="A37" s="470"/>
      <c r="B37" s="56"/>
      <c r="C37" s="8"/>
      <c r="D37" s="8"/>
      <c r="E37" s="8"/>
      <c r="F37" s="13"/>
      <c r="G37" s="13" t="s">
        <v>28</v>
      </c>
      <c r="H37" s="103" t="s">
        <v>248</v>
      </c>
      <c r="I37" s="68" t="s">
        <v>6</v>
      </c>
      <c r="J37" s="95">
        <f>2*11</f>
        <v>22</v>
      </c>
      <c r="K37" s="312">
        <v>0</v>
      </c>
      <c r="L37" s="69">
        <f>K37*J37</f>
        <v>0</v>
      </c>
      <c r="M37" s="312">
        <v>0</v>
      </c>
      <c r="N37" s="148" t="s">
        <v>549</v>
      </c>
    </row>
    <row r="38" spans="1:14" ht="18" customHeight="1" x14ac:dyDescent="0.35">
      <c r="A38" s="470"/>
      <c r="B38" s="56"/>
      <c r="C38" s="8"/>
      <c r="D38" s="8"/>
      <c r="E38" s="8"/>
      <c r="F38" s="13"/>
      <c r="G38" s="13"/>
      <c r="H38" s="103" t="s">
        <v>527</v>
      </c>
      <c r="I38" s="68" t="s">
        <v>6</v>
      </c>
      <c r="J38" s="95">
        <v>11</v>
      </c>
      <c r="K38" s="312">
        <v>0</v>
      </c>
      <c r="L38" s="69">
        <f>K38*J38</f>
        <v>0</v>
      </c>
      <c r="M38" s="312">
        <v>0</v>
      </c>
      <c r="N38" s="148"/>
    </row>
    <row r="39" spans="1:14" ht="18" customHeight="1" x14ac:dyDescent="0.35">
      <c r="A39" s="470"/>
      <c r="B39" s="56"/>
      <c r="C39" s="8"/>
      <c r="D39" s="8"/>
      <c r="E39" s="8"/>
      <c r="F39" s="13"/>
      <c r="G39" s="13"/>
      <c r="H39" s="103"/>
      <c r="I39" s="68"/>
      <c r="J39" s="95"/>
      <c r="K39" s="69"/>
      <c r="L39" s="69"/>
      <c r="M39" s="69"/>
      <c r="N39" s="148"/>
    </row>
    <row r="40" spans="1:14" ht="18" customHeight="1" x14ac:dyDescent="0.35">
      <c r="A40" s="470"/>
      <c r="B40" s="76"/>
      <c r="C40" s="77"/>
      <c r="D40" s="77"/>
      <c r="E40" s="77"/>
      <c r="F40" s="30"/>
      <c r="G40" s="31"/>
      <c r="H40" s="32" t="s">
        <v>459</v>
      </c>
      <c r="I40" s="33"/>
      <c r="J40" s="98"/>
      <c r="K40" s="34"/>
      <c r="L40" s="137">
        <f>SUM(L25:L38)</f>
        <v>0</v>
      </c>
      <c r="M40" s="137">
        <f>SUM(M25:M38)</f>
        <v>0</v>
      </c>
      <c r="N40" s="148"/>
    </row>
    <row r="41" spans="1:14" ht="18" customHeight="1" x14ac:dyDescent="0.35">
      <c r="A41" s="470"/>
      <c r="B41" s="56"/>
      <c r="C41" s="8"/>
      <c r="D41" s="8"/>
      <c r="E41" s="8"/>
      <c r="F41" s="8"/>
      <c r="G41" s="8"/>
      <c r="H41" s="141"/>
      <c r="I41" s="141"/>
      <c r="J41" s="162"/>
      <c r="K41" s="141"/>
      <c r="L41" s="141"/>
      <c r="M41" s="141"/>
      <c r="N41" s="148"/>
    </row>
    <row r="42" spans="1:14" ht="37.5" customHeight="1" x14ac:dyDescent="0.35">
      <c r="A42" s="470"/>
      <c r="B42" s="57">
        <v>106</v>
      </c>
      <c r="C42" s="35" t="s">
        <v>14</v>
      </c>
      <c r="D42" s="35" t="s">
        <v>225</v>
      </c>
      <c r="E42" s="40"/>
      <c r="F42" s="160" t="s">
        <v>229</v>
      </c>
      <c r="G42" s="161" t="s">
        <v>16</v>
      </c>
      <c r="H42" s="88" t="s">
        <v>360</v>
      </c>
      <c r="I42" s="68" t="s">
        <v>4</v>
      </c>
      <c r="J42" s="95">
        <f>7.26*8.16</f>
        <v>59.241599999999998</v>
      </c>
      <c r="K42" s="312">
        <v>0</v>
      </c>
      <c r="L42" s="69">
        <f>K42*J42</f>
        <v>0</v>
      </c>
      <c r="M42" s="312">
        <v>0</v>
      </c>
      <c r="N42" s="148"/>
    </row>
    <row r="43" spans="1:14" ht="18" customHeight="1" x14ac:dyDescent="0.35">
      <c r="A43" s="470"/>
      <c r="B43" s="56"/>
      <c r="C43" s="8"/>
      <c r="D43" s="8"/>
      <c r="E43" s="8"/>
      <c r="F43" s="13"/>
      <c r="G43" s="13"/>
      <c r="H43" s="103"/>
      <c r="I43" s="68"/>
      <c r="J43" s="95"/>
      <c r="K43" s="69"/>
      <c r="L43" s="69"/>
      <c r="M43" s="69"/>
      <c r="N43" s="148"/>
    </row>
    <row r="44" spans="1:14" ht="18" customHeight="1" x14ac:dyDescent="0.35">
      <c r="A44" s="470"/>
      <c r="B44" s="76"/>
      <c r="C44" s="77"/>
      <c r="D44" s="77"/>
      <c r="E44" s="77"/>
      <c r="F44" s="30"/>
      <c r="G44" s="31"/>
      <c r="H44" s="32" t="s">
        <v>459</v>
      </c>
      <c r="I44" s="33"/>
      <c r="J44" s="98"/>
      <c r="K44" s="34"/>
      <c r="L44" s="137">
        <f>SUM(L42:L42)</f>
        <v>0</v>
      </c>
      <c r="M44" s="137">
        <f>SUM(M42:M42)</f>
        <v>0</v>
      </c>
      <c r="N44" s="148"/>
    </row>
    <row r="45" spans="1:14" ht="18" customHeight="1" x14ac:dyDescent="0.35">
      <c r="A45" s="470"/>
      <c r="B45" s="56"/>
      <c r="C45" s="8"/>
      <c r="D45" s="8"/>
      <c r="E45" s="8"/>
      <c r="F45" s="28"/>
      <c r="G45" s="28"/>
      <c r="H45" s="29"/>
      <c r="I45" s="29"/>
      <c r="J45" s="97"/>
      <c r="K45" s="29"/>
      <c r="L45" s="29"/>
      <c r="M45" s="29"/>
      <c r="N45" s="148"/>
    </row>
    <row r="46" spans="1:14" ht="18" customHeight="1" x14ac:dyDescent="0.35">
      <c r="A46" s="470"/>
      <c r="B46" s="57">
        <v>107</v>
      </c>
      <c r="C46" s="35" t="s">
        <v>14</v>
      </c>
      <c r="D46" s="35" t="s">
        <v>227</v>
      </c>
      <c r="E46" s="40"/>
      <c r="F46" s="160" t="s">
        <v>137</v>
      </c>
      <c r="G46" s="161" t="s">
        <v>138</v>
      </c>
      <c r="H46" s="213" t="s">
        <v>681</v>
      </c>
      <c r="I46" s="68" t="s">
        <v>6</v>
      </c>
      <c r="J46" s="95">
        <v>7</v>
      </c>
      <c r="K46" s="312">
        <v>0</v>
      </c>
      <c r="L46" s="69">
        <f>K46*J46</f>
        <v>0</v>
      </c>
      <c r="M46" s="312">
        <v>0</v>
      </c>
      <c r="N46" s="148"/>
    </row>
    <row r="47" spans="1:14" ht="18" customHeight="1" x14ac:dyDescent="0.35">
      <c r="A47" s="470"/>
      <c r="B47" s="56"/>
      <c r="C47" s="8"/>
      <c r="D47" s="8"/>
      <c r="E47" s="8"/>
      <c r="F47" s="13"/>
      <c r="G47" s="13"/>
      <c r="H47" s="103"/>
      <c r="I47" s="68"/>
      <c r="J47" s="95"/>
      <c r="K47" s="69"/>
      <c r="L47" s="69"/>
      <c r="M47" s="69"/>
      <c r="N47" s="148"/>
    </row>
    <row r="48" spans="1:14" ht="18" customHeight="1" x14ac:dyDescent="0.35">
      <c r="A48" s="470"/>
      <c r="B48" s="76"/>
      <c r="C48" s="77"/>
      <c r="D48" s="77"/>
      <c r="E48" s="77"/>
      <c r="F48" s="30"/>
      <c r="G48" s="31"/>
      <c r="H48" s="32" t="s">
        <v>459</v>
      </c>
      <c r="I48" s="33"/>
      <c r="J48" s="98"/>
      <c r="K48" s="34"/>
      <c r="L48" s="137">
        <f>SUM(L46:L46)</f>
        <v>0</v>
      </c>
      <c r="M48" s="137">
        <f>SUM(M46:M46)</f>
        <v>0</v>
      </c>
      <c r="N48" s="148"/>
    </row>
    <row r="49" spans="1:14" ht="18" customHeight="1" x14ac:dyDescent="0.35">
      <c r="A49" s="470"/>
      <c r="B49" s="56"/>
      <c r="C49" s="8"/>
      <c r="D49" s="8"/>
      <c r="E49" s="8"/>
      <c r="F49" s="8"/>
      <c r="G49" s="8"/>
      <c r="H49" s="141"/>
      <c r="I49" s="141"/>
      <c r="J49" s="162"/>
      <c r="K49" s="141"/>
      <c r="L49" s="141"/>
      <c r="M49" s="141"/>
      <c r="N49" s="148"/>
    </row>
    <row r="50" spans="1:14" ht="18" customHeight="1" x14ac:dyDescent="0.35">
      <c r="A50" s="470"/>
      <c r="B50" s="57">
        <v>108</v>
      </c>
      <c r="C50" s="35" t="s">
        <v>14</v>
      </c>
      <c r="D50" s="35" t="s">
        <v>226</v>
      </c>
      <c r="E50" s="40"/>
      <c r="F50" s="160" t="s">
        <v>32</v>
      </c>
      <c r="G50" s="161" t="s">
        <v>17</v>
      </c>
      <c r="H50" s="103" t="s">
        <v>475</v>
      </c>
      <c r="I50" s="68" t="s">
        <v>5</v>
      </c>
      <c r="J50" s="95">
        <f>1.78*2+0.83*2</f>
        <v>5.22</v>
      </c>
      <c r="K50" s="312">
        <v>0</v>
      </c>
      <c r="L50" s="69">
        <f>K50*J50</f>
        <v>0</v>
      </c>
      <c r="M50" s="312">
        <v>0</v>
      </c>
      <c r="N50" s="148"/>
    </row>
    <row r="51" spans="1:14" ht="18" customHeight="1" x14ac:dyDescent="0.35">
      <c r="A51" s="470"/>
      <c r="B51" s="56"/>
      <c r="C51" s="20"/>
      <c r="D51" s="20"/>
      <c r="E51" s="8"/>
      <c r="F51" s="13"/>
      <c r="G51" s="161"/>
      <c r="H51" s="103" t="s">
        <v>476</v>
      </c>
      <c r="I51" s="68" t="s">
        <v>5</v>
      </c>
      <c r="J51" s="95">
        <f>3*0.75</f>
        <v>2.25</v>
      </c>
      <c r="K51" s="312">
        <v>0</v>
      </c>
      <c r="L51" s="69">
        <f>K51*J51</f>
        <v>0</v>
      </c>
      <c r="M51" s="312">
        <v>0</v>
      </c>
      <c r="N51" s="148"/>
    </row>
    <row r="52" spans="1:14" ht="18" customHeight="1" x14ac:dyDescent="0.35">
      <c r="A52" s="470"/>
      <c r="B52" s="56"/>
      <c r="C52" s="8"/>
      <c r="D52" s="8"/>
      <c r="E52" s="8"/>
      <c r="F52" s="13"/>
      <c r="G52" s="161"/>
      <c r="H52" s="103" t="s">
        <v>705</v>
      </c>
      <c r="I52" s="68" t="s">
        <v>5</v>
      </c>
      <c r="J52" s="95">
        <f>3*0.75*0.03</f>
        <v>6.7500000000000004E-2</v>
      </c>
      <c r="K52" s="312">
        <v>0</v>
      </c>
      <c r="L52" s="69">
        <f>K52*J52</f>
        <v>0</v>
      </c>
      <c r="M52" s="312">
        <v>0</v>
      </c>
      <c r="N52" s="148"/>
    </row>
    <row r="53" spans="1:14" ht="18" customHeight="1" x14ac:dyDescent="0.35">
      <c r="A53" s="470"/>
      <c r="B53" s="56"/>
      <c r="C53" s="8"/>
      <c r="D53" s="8"/>
      <c r="E53" s="8"/>
      <c r="F53" s="13"/>
      <c r="G53" s="161"/>
      <c r="H53" s="103"/>
      <c r="I53" s="68"/>
      <c r="J53" s="95"/>
      <c r="K53" s="69"/>
      <c r="L53" s="69"/>
      <c r="M53" s="69"/>
      <c r="N53" s="148"/>
    </row>
    <row r="54" spans="1:14" ht="18" customHeight="1" x14ac:dyDescent="0.35">
      <c r="A54" s="470"/>
      <c r="B54" s="56"/>
      <c r="C54" s="8"/>
      <c r="D54" s="8"/>
      <c r="E54" s="8"/>
      <c r="F54" s="13"/>
      <c r="G54" s="161" t="s">
        <v>18</v>
      </c>
      <c r="H54" s="103" t="s">
        <v>498</v>
      </c>
      <c r="I54" s="68" t="s">
        <v>4</v>
      </c>
      <c r="J54" s="95">
        <f>J50*2*0.04*3+0.5</f>
        <v>1.7527999999999999</v>
      </c>
      <c r="K54" s="312">
        <v>0</v>
      </c>
      <c r="L54" s="69">
        <f>K54*J54</f>
        <v>0</v>
      </c>
      <c r="M54" s="312">
        <v>0</v>
      </c>
      <c r="N54" s="148" t="s">
        <v>519</v>
      </c>
    </row>
    <row r="55" spans="1:14" ht="18" customHeight="1" x14ac:dyDescent="0.35">
      <c r="A55" s="470"/>
      <c r="B55" s="56"/>
      <c r="C55" s="8"/>
      <c r="D55" s="8"/>
      <c r="E55" s="8"/>
      <c r="F55" s="13"/>
      <c r="G55" s="161"/>
      <c r="H55" s="103"/>
      <c r="I55" s="68"/>
      <c r="J55" s="95"/>
      <c r="K55" s="69"/>
      <c r="L55" s="69"/>
      <c r="M55" s="69"/>
      <c r="N55" s="148"/>
    </row>
    <row r="56" spans="1:14" ht="18" customHeight="1" x14ac:dyDescent="0.35">
      <c r="A56" s="470"/>
      <c r="B56" s="56"/>
      <c r="C56" s="8"/>
      <c r="D56" s="8"/>
      <c r="E56" s="8"/>
      <c r="F56" s="13"/>
      <c r="G56" s="161" t="s">
        <v>19</v>
      </c>
      <c r="H56" s="103" t="s">
        <v>770</v>
      </c>
      <c r="I56" s="68" t="s">
        <v>4</v>
      </c>
      <c r="J56" s="95">
        <f>0.79*0.79</f>
        <v>0.6241000000000001</v>
      </c>
      <c r="K56" s="312">
        <v>0</v>
      </c>
      <c r="L56" s="69">
        <f>K56*J56</f>
        <v>0</v>
      </c>
      <c r="M56" s="312">
        <v>0</v>
      </c>
      <c r="N56" s="148"/>
    </row>
    <row r="57" spans="1:14" ht="18" customHeight="1" x14ac:dyDescent="0.35">
      <c r="A57" s="470"/>
      <c r="B57" s="56"/>
      <c r="C57" s="8"/>
      <c r="D57" s="8"/>
      <c r="E57" s="8"/>
      <c r="F57" s="13"/>
      <c r="G57" s="13"/>
      <c r="H57" s="103"/>
      <c r="I57" s="68"/>
      <c r="J57" s="95"/>
      <c r="K57" s="69"/>
      <c r="L57" s="69"/>
      <c r="M57" s="69"/>
      <c r="N57" s="148"/>
    </row>
    <row r="58" spans="1:14" ht="18" customHeight="1" x14ac:dyDescent="0.35">
      <c r="A58" s="470"/>
      <c r="B58" s="76"/>
      <c r="C58" s="77"/>
      <c r="D58" s="77"/>
      <c r="E58" s="77"/>
      <c r="F58" s="30"/>
      <c r="G58" s="31"/>
      <c r="H58" s="32" t="s">
        <v>459</v>
      </c>
      <c r="I58" s="33"/>
      <c r="J58" s="98"/>
      <c r="K58" s="34"/>
      <c r="L58" s="137">
        <f>SUM(L50:L56)</f>
        <v>0</v>
      </c>
      <c r="M58" s="137">
        <f>SUM(M50:M56)</f>
        <v>0</v>
      </c>
      <c r="N58" s="148"/>
    </row>
    <row r="59" spans="1:14" ht="18" customHeight="1" thickBot="1" x14ac:dyDescent="0.4">
      <c r="A59" s="470"/>
      <c r="B59" s="56"/>
      <c r="C59" s="8"/>
      <c r="D59" s="8"/>
      <c r="E59" s="8"/>
      <c r="F59" s="8"/>
      <c r="G59" s="8"/>
      <c r="H59" s="141"/>
      <c r="I59" s="141"/>
      <c r="J59" s="162"/>
      <c r="K59" s="141"/>
      <c r="L59" s="141"/>
      <c r="M59" s="141"/>
      <c r="N59" s="148"/>
    </row>
    <row r="60" spans="1:14" ht="18" customHeight="1" thickBot="1" x14ac:dyDescent="0.4">
      <c r="A60" s="470"/>
      <c r="B60" s="453" t="s">
        <v>37</v>
      </c>
      <c r="C60" s="454"/>
      <c r="D60" s="454"/>
      <c r="E60" s="454"/>
      <c r="F60" s="454"/>
      <c r="G60" s="140"/>
      <c r="H60" s="140" t="s">
        <v>459</v>
      </c>
      <c r="I60" s="50"/>
      <c r="J60" s="94"/>
      <c r="K60" s="51"/>
      <c r="L60" s="52">
        <f>L58+L48+L44+L40</f>
        <v>0</v>
      </c>
      <c r="M60" s="53">
        <f>M58+M48+M44+M40</f>
        <v>0</v>
      </c>
      <c r="N60" s="148"/>
    </row>
    <row r="61" spans="1:14" ht="18" customHeight="1" thickBot="1" x14ac:dyDescent="0.4">
      <c r="A61" s="471"/>
      <c r="B61" s="58"/>
      <c r="C61" s="21"/>
      <c r="D61" s="21"/>
      <c r="E61" s="14"/>
      <c r="F61" s="15"/>
      <c r="G61" s="15"/>
      <c r="H61" s="16"/>
      <c r="I61" s="17"/>
      <c r="J61" s="96"/>
      <c r="K61" s="277"/>
      <c r="L61" s="278"/>
      <c r="M61" s="276"/>
      <c r="N61" s="148"/>
    </row>
    <row r="62" spans="1:14" ht="18.5" x14ac:dyDescent="0.35">
      <c r="A62" s="469" t="s">
        <v>39</v>
      </c>
      <c r="B62" s="56"/>
      <c r="C62" s="20"/>
      <c r="D62" s="20"/>
      <c r="E62" s="8"/>
      <c r="F62" s="13"/>
      <c r="G62" s="13"/>
      <c r="H62" s="141"/>
      <c r="I62" s="68"/>
      <c r="J62" s="95"/>
      <c r="K62" s="69"/>
      <c r="L62" s="69"/>
      <c r="M62" s="69"/>
      <c r="N62" s="146"/>
    </row>
    <row r="63" spans="1:14" ht="18.5" x14ac:dyDescent="0.35">
      <c r="A63" s="470"/>
      <c r="B63" s="57">
        <v>109</v>
      </c>
      <c r="C63" s="35" t="s">
        <v>38</v>
      </c>
      <c r="D63" s="35" t="s">
        <v>224</v>
      </c>
      <c r="E63" s="40"/>
      <c r="F63" s="160" t="s">
        <v>32</v>
      </c>
      <c r="G63" s="161"/>
      <c r="H63" s="103" t="s">
        <v>42</v>
      </c>
      <c r="I63" s="68" t="s">
        <v>4</v>
      </c>
      <c r="J63" s="95">
        <f>0.75*0.75</f>
        <v>0.5625</v>
      </c>
      <c r="K63" s="312">
        <v>0</v>
      </c>
      <c r="L63" s="69">
        <f>K63*J63</f>
        <v>0</v>
      </c>
      <c r="M63" s="312">
        <v>0</v>
      </c>
      <c r="N63" s="148"/>
    </row>
    <row r="64" spans="1:14" x14ac:dyDescent="0.35">
      <c r="A64" s="470"/>
      <c r="B64" s="56"/>
      <c r="C64" s="8"/>
      <c r="D64" s="8"/>
      <c r="E64" s="8"/>
      <c r="F64" s="13"/>
      <c r="G64" s="13"/>
      <c r="H64" s="103"/>
      <c r="I64" s="68"/>
      <c r="J64" s="95"/>
      <c r="K64" s="69"/>
      <c r="L64" s="69"/>
      <c r="M64" s="69"/>
      <c r="N64" s="148"/>
    </row>
    <row r="65" spans="1:14" ht="15.5" x14ac:dyDescent="0.35">
      <c r="A65" s="470"/>
      <c r="B65" s="76"/>
      <c r="C65" s="77"/>
      <c r="D65" s="77"/>
      <c r="E65" s="77"/>
      <c r="F65" s="30"/>
      <c r="G65" s="31"/>
      <c r="H65" s="32" t="s">
        <v>459</v>
      </c>
      <c r="I65" s="33"/>
      <c r="J65" s="98"/>
      <c r="K65" s="34"/>
      <c r="L65" s="137">
        <f>SUM(L63:L63)</f>
        <v>0</v>
      </c>
      <c r="M65" s="137">
        <f>SUM(M63:M63)</f>
        <v>0</v>
      </c>
      <c r="N65" s="148"/>
    </row>
    <row r="66" spans="1:14" ht="15.5" x14ac:dyDescent="0.35">
      <c r="A66" s="470"/>
      <c r="B66" s="56"/>
      <c r="C66" s="8"/>
      <c r="D66" s="8"/>
      <c r="E66" s="8"/>
      <c r="F66" s="25"/>
      <c r="G66" s="64"/>
      <c r="H66" s="65"/>
      <c r="I66" s="66"/>
      <c r="J66" s="102"/>
      <c r="K66" s="67"/>
      <c r="L66" s="170"/>
      <c r="M66" s="170"/>
      <c r="N66" s="148"/>
    </row>
    <row r="67" spans="1:14" ht="18.5" x14ac:dyDescent="0.35">
      <c r="A67" s="470"/>
      <c r="B67" s="57">
        <v>110</v>
      </c>
      <c r="C67" s="35" t="s">
        <v>38</v>
      </c>
      <c r="D67" s="35" t="s">
        <v>225</v>
      </c>
      <c r="E67" s="40"/>
      <c r="F67" s="160" t="s">
        <v>231</v>
      </c>
      <c r="G67" s="161"/>
      <c r="H67" s="103" t="s">
        <v>528</v>
      </c>
      <c r="I67" s="68" t="s">
        <v>4</v>
      </c>
      <c r="J67" s="95">
        <f>7.275*2.8</f>
        <v>20.37</v>
      </c>
      <c r="K67" s="312">
        <v>0</v>
      </c>
      <c r="L67" s="220">
        <f>K67*J67</f>
        <v>0</v>
      </c>
      <c r="M67" s="312">
        <v>0</v>
      </c>
      <c r="N67" s="148"/>
    </row>
    <row r="68" spans="1:14" x14ac:dyDescent="0.35">
      <c r="A68" s="470"/>
      <c r="B68" s="56"/>
      <c r="C68" s="8"/>
      <c r="D68" s="8"/>
      <c r="E68" s="8"/>
      <c r="F68" s="13"/>
      <c r="G68" s="13"/>
      <c r="H68" s="103"/>
      <c r="I68" s="68"/>
      <c r="J68" s="95"/>
      <c r="K68" s="69"/>
      <c r="L68" s="69"/>
      <c r="M68" s="69"/>
      <c r="N68" s="148"/>
    </row>
    <row r="69" spans="1:14" ht="15.5" x14ac:dyDescent="0.35">
      <c r="A69" s="470"/>
      <c r="B69" s="76"/>
      <c r="C69" s="77"/>
      <c r="D69" s="77"/>
      <c r="E69" s="77"/>
      <c r="F69" s="30"/>
      <c r="G69" s="31"/>
      <c r="H69" s="32" t="s">
        <v>459</v>
      </c>
      <c r="I69" s="33"/>
      <c r="J69" s="98"/>
      <c r="K69" s="34"/>
      <c r="L69" s="137">
        <f>SUM(L67:L67)</f>
        <v>0</v>
      </c>
      <c r="M69" s="137">
        <f>SUM(M67:M67)</f>
        <v>0</v>
      </c>
      <c r="N69" s="148"/>
    </row>
    <row r="70" spans="1:14" s="79" customFormat="1" ht="15.5" x14ac:dyDescent="0.35">
      <c r="A70" s="470"/>
      <c r="B70" s="56"/>
      <c r="C70" s="8"/>
      <c r="D70" s="8"/>
      <c r="E70" s="8"/>
      <c r="F70" s="25"/>
      <c r="G70" s="64"/>
      <c r="H70" s="65"/>
      <c r="I70" s="66"/>
      <c r="J70" s="102"/>
      <c r="K70" s="67"/>
      <c r="L70" s="170"/>
      <c r="M70" s="170"/>
      <c r="N70" s="148"/>
    </row>
    <row r="71" spans="1:14" s="79" customFormat="1" ht="18.5" x14ac:dyDescent="0.35">
      <c r="A71" s="470"/>
      <c r="B71" s="57">
        <v>111</v>
      </c>
      <c r="C71" s="35" t="s">
        <v>38</v>
      </c>
      <c r="D71" s="35" t="s">
        <v>227</v>
      </c>
      <c r="E71" s="40"/>
      <c r="F71" s="160" t="s">
        <v>374</v>
      </c>
      <c r="G71" s="161"/>
      <c r="H71" s="103" t="s">
        <v>528</v>
      </c>
      <c r="I71" s="68" t="s">
        <v>4</v>
      </c>
      <c r="J71" s="95">
        <f>0.13*0.17*10</f>
        <v>0.22100000000000003</v>
      </c>
      <c r="K71" s="312">
        <v>0</v>
      </c>
      <c r="L71" s="220">
        <f>K71*J71</f>
        <v>0</v>
      </c>
      <c r="M71" s="312">
        <v>0</v>
      </c>
      <c r="N71" s="148"/>
    </row>
    <row r="72" spans="1:14" s="79" customFormat="1" x14ac:dyDescent="0.35">
      <c r="A72" s="470"/>
      <c r="B72" s="56"/>
      <c r="C72" s="8"/>
      <c r="D72" s="8"/>
      <c r="E72" s="8"/>
      <c r="F72" s="13"/>
      <c r="G72" s="13"/>
      <c r="H72" s="103"/>
      <c r="I72" s="68"/>
      <c r="J72" s="95"/>
      <c r="K72" s="69"/>
      <c r="L72" s="69"/>
      <c r="M72" s="69"/>
      <c r="N72" s="148"/>
    </row>
    <row r="73" spans="1:14" s="79" customFormat="1" ht="15.5" x14ac:dyDescent="0.35">
      <c r="A73" s="470"/>
      <c r="B73" s="76"/>
      <c r="C73" s="77"/>
      <c r="D73" s="77"/>
      <c r="E73" s="77"/>
      <c r="F73" s="30"/>
      <c r="G73" s="31"/>
      <c r="H73" s="32" t="s">
        <v>459</v>
      </c>
      <c r="I73" s="33"/>
      <c r="J73" s="98"/>
      <c r="K73" s="34"/>
      <c r="L73" s="137">
        <f>SUM(L71:L71)</f>
        <v>0</v>
      </c>
      <c r="M73" s="137">
        <f>SUM(M71:M71)</f>
        <v>0</v>
      </c>
      <c r="N73" s="148"/>
    </row>
    <row r="74" spans="1:14" ht="15" thickBot="1" x14ac:dyDescent="0.4">
      <c r="A74" s="470"/>
      <c r="B74" s="56"/>
      <c r="C74" s="8"/>
      <c r="D74" s="8"/>
      <c r="E74" s="8"/>
      <c r="F74" s="8"/>
      <c r="G74" s="8"/>
      <c r="H74" s="141"/>
      <c r="I74" s="141"/>
      <c r="J74" s="162"/>
      <c r="K74" s="141"/>
      <c r="L74" s="141"/>
      <c r="M74" s="141"/>
      <c r="N74" s="148"/>
    </row>
    <row r="75" spans="1:14" ht="19" thickBot="1" x14ac:dyDescent="0.4">
      <c r="A75" s="470"/>
      <c r="B75" s="453" t="s">
        <v>43</v>
      </c>
      <c r="C75" s="454"/>
      <c r="D75" s="454"/>
      <c r="E75" s="454"/>
      <c r="F75" s="454"/>
      <c r="G75" s="140"/>
      <c r="H75" s="140" t="s">
        <v>459</v>
      </c>
      <c r="I75" s="50"/>
      <c r="J75" s="94"/>
      <c r="K75" s="51"/>
      <c r="L75" s="52">
        <f>L69+L65+L73</f>
        <v>0</v>
      </c>
      <c r="M75" s="53">
        <f>M69+M65+M73</f>
        <v>0</v>
      </c>
      <c r="N75" s="148"/>
    </row>
    <row r="76" spans="1:14" ht="19" thickBot="1" x14ac:dyDescent="0.4">
      <c r="A76" s="471"/>
      <c r="B76" s="58"/>
      <c r="C76" s="21"/>
      <c r="D76" s="21"/>
      <c r="E76" s="14"/>
      <c r="F76" s="15"/>
      <c r="G76" s="15"/>
      <c r="H76" s="16"/>
      <c r="I76" s="17"/>
      <c r="J76" s="96"/>
      <c r="K76" s="22"/>
      <c r="L76" s="23"/>
      <c r="M76" s="24"/>
      <c r="N76" s="148"/>
    </row>
    <row r="77" spans="1:14" ht="18.5" x14ac:dyDescent="0.35">
      <c r="A77" s="469" t="s">
        <v>46</v>
      </c>
      <c r="B77" s="56"/>
      <c r="C77" s="20"/>
      <c r="D77" s="20"/>
      <c r="E77" s="8"/>
      <c r="F77" s="13"/>
      <c r="G77" s="13"/>
      <c r="H77" s="141"/>
      <c r="I77" s="68"/>
      <c r="J77" s="95"/>
      <c r="K77" s="69"/>
      <c r="L77" s="69"/>
      <c r="M77" s="69"/>
      <c r="N77" s="146"/>
    </row>
    <row r="78" spans="1:14" ht="18.75" customHeight="1" x14ac:dyDescent="0.35">
      <c r="A78" s="475"/>
      <c r="B78" s="57">
        <v>112</v>
      </c>
      <c r="C78" s="35" t="s">
        <v>47</v>
      </c>
      <c r="D78" s="35" t="s">
        <v>314</v>
      </c>
      <c r="E78" s="40"/>
      <c r="F78" s="160" t="s">
        <v>317</v>
      </c>
      <c r="G78" s="161" t="s">
        <v>233</v>
      </c>
      <c r="H78" s="103" t="s">
        <v>517</v>
      </c>
      <c r="I78" s="68" t="s">
        <v>5</v>
      </c>
      <c r="J78" s="95">
        <v>10</v>
      </c>
      <c r="K78" s="312">
        <v>0</v>
      </c>
      <c r="L78" s="69">
        <f>K78*J78</f>
        <v>0</v>
      </c>
      <c r="M78" s="312">
        <v>0</v>
      </c>
      <c r="N78" s="148"/>
    </row>
    <row r="79" spans="1:14" x14ac:dyDescent="0.35">
      <c r="A79" s="475"/>
      <c r="B79" s="56"/>
      <c r="C79" s="8"/>
      <c r="D79" s="8"/>
      <c r="E79" s="8"/>
      <c r="F79" s="13"/>
      <c r="G79" s="13"/>
      <c r="H79" s="103"/>
      <c r="I79" s="68"/>
      <c r="J79" s="95"/>
      <c r="K79" s="69"/>
      <c r="L79" s="69"/>
      <c r="M79" s="69"/>
      <c r="N79" s="148"/>
    </row>
    <row r="80" spans="1:14" ht="15.5" x14ac:dyDescent="0.35">
      <c r="A80" s="475"/>
      <c r="B80" s="76"/>
      <c r="C80" s="77"/>
      <c r="D80" s="77"/>
      <c r="E80" s="77"/>
      <c r="F80" s="30"/>
      <c r="G80" s="31"/>
      <c r="H80" s="32" t="s">
        <v>459</v>
      </c>
      <c r="I80" s="33"/>
      <c r="J80" s="98"/>
      <c r="K80" s="34"/>
      <c r="L80" s="137">
        <f>SUM(L78:L78)</f>
        <v>0</v>
      </c>
      <c r="M80" s="137">
        <f>SUM(M78:M78)</f>
        <v>0</v>
      </c>
      <c r="N80" s="148"/>
    </row>
    <row r="81" spans="1:14" s="74" customFormat="1" ht="18.5" x14ac:dyDescent="0.35">
      <c r="A81" s="475"/>
      <c r="B81" s="56"/>
      <c r="C81" s="20"/>
      <c r="D81" s="20"/>
      <c r="E81" s="8"/>
      <c r="F81" s="13"/>
      <c r="G81" s="13"/>
      <c r="H81" s="141"/>
      <c r="I81" s="68"/>
      <c r="J81" s="95"/>
      <c r="K81" s="69"/>
      <c r="L81" s="69"/>
      <c r="M81" s="69"/>
      <c r="N81" s="148"/>
    </row>
    <row r="82" spans="1:14" s="74" customFormat="1" ht="32.25" customHeight="1" x14ac:dyDescent="0.35">
      <c r="A82" s="475"/>
      <c r="B82" s="57">
        <v>113</v>
      </c>
      <c r="C82" s="35" t="s">
        <v>47</v>
      </c>
      <c r="D82" s="35" t="s">
        <v>316</v>
      </c>
      <c r="E82" s="40"/>
      <c r="F82" s="160" t="s">
        <v>318</v>
      </c>
      <c r="G82" s="161" t="s">
        <v>232</v>
      </c>
      <c r="H82" s="88" t="s">
        <v>530</v>
      </c>
      <c r="I82" s="68" t="s">
        <v>5</v>
      </c>
      <c r="J82" s="95">
        <v>50</v>
      </c>
      <c r="K82" s="312">
        <v>0</v>
      </c>
      <c r="L82" s="69">
        <f>K82*J82</f>
        <v>0</v>
      </c>
      <c r="M82" s="312">
        <v>0</v>
      </c>
      <c r="N82" s="148"/>
    </row>
    <row r="83" spans="1:14" s="74" customFormat="1" x14ac:dyDescent="0.35">
      <c r="A83" s="475"/>
      <c r="B83" s="56"/>
      <c r="C83" s="8"/>
      <c r="D83" s="8"/>
      <c r="E83" s="8"/>
      <c r="F83" s="13"/>
      <c r="G83" s="13"/>
      <c r="H83" s="103"/>
      <c r="I83" s="68"/>
      <c r="J83" s="95"/>
      <c r="K83" s="69"/>
      <c r="L83" s="69"/>
      <c r="M83" s="69"/>
      <c r="N83" s="148"/>
    </row>
    <row r="84" spans="1:14" s="74" customFormat="1" ht="15.5" x14ac:dyDescent="0.35">
      <c r="A84" s="475"/>
      <c r="B84" s="76"/>
      <c r="C84" s="77"/>
      <c r="D84" s="77"/>
      <c r="E84" s="77"/>
      <c r="F84" s="30"/>
      <c r="G84" s="31"/>
      <c r="H84" s="32" t="s">
        <v>459</v>
      </c>
      <c r="I84" s="33"/>
      <c r="J84" s="98"/>
      <c r="K84" s="34"/>
      <c r="L84" s="137">
        <f>SUM(L82:L82)</f>
        <v>0</v>
      </c>
      <c r="M84" s="137">
        <f>SUM(M82:M82)</f>
        <v>0</v>
      </c>
      <c r="N84" s="148"/>
    </row>
    <row r="85" spans="1:14" ht="15.5" x14ac:dyDescent="0.35">
      <c r="A85" s="475"/>
      <c r="B85" s="56"/>
      <c r="C85" s="8"/>
      <c r="D85" s="8"/>
      <c r="E85" s="8"/>
      <c r="F85" s="25"/>
      <c r="G85" s="64"/>
      <c r="H85" s="65"/>
      <c r="I85" s="66"/>
      <c r="J85" s="102"/>
      <c r="K85" s="67"/>
      <c r="L85" s="170"/>
      <c r="M85" s="170"/>
      <c r="N85" s="148"/>
    </row>
    <row r="86" spans="1:14" ht="18.5" x14ac:dyDescent="0.35">
      <c r="A86" s="470"/>
      <c r="B86" s="57">
        <v>114</v>
      </c>
      <c r="C86" s="35" t="s">
        <v>47</v>
      </c>
      <c r="D86" s="35" t="s">
        <v>315</v>
      </c>
      <c r="E86" s="40"/>
      <c r="F86" s="160" t="s">
        <v>619</v>
      </c>
      <c r="G86" s="161" t="s">
        <v>319</v>
      </c>
      <c r="H86" s="103" t="s">
        <v>569</v>
      </c>
      <c r="I86" s="68" t="s">
        <v>5</v>
      </c>
      <c r="J86" s="95">
        <v>5</v>
      </c>
      <c r="K86" s="312">
        <v>0</v>
      </c>
      <c r="L86" s="220">
        <f>K86*J86</f>
        <v>0</v>
      </c>
      <c r="M86" s="312">
        <v>0</v>
      </c>
      <c r="N86" s="148"/>
    </row>
    <row r="87" spans="1:14" x14ac:dyDescent="0.35">
      <c r="A87" s="470"/>
      <c r="B87" s="56"/>
      <c r="C87" s="8"/>
      <c r="D87" s="8"/>
      <c r="E87" s="8"/>
      <c r="F87" s="13"/>
      <c r="G87" s="13"/>
      <c r="H87" s="103"/>
      <c r="I87" s="68"/>
      <c r="J87" s="95"/>
      <c r="K87" s="69"/>
      <c r="L87" s="69"/>
      <c r="M87" s="69"/>
      <c r="N87" s="148"/>
    </row>
    <row r="88" spans="1:14" ht="15.5" x14ac:dyDescent="0.35">
      <c r="A88" s="470"/>
      <c r="B88" s="76"/>
      <c r="C88" s="77"/>
      <c r="D88" s="77"/>
      <c r="E88" s="77"/>
      <c r="F88" s="30"/>
      <c r="G88" s="31"/>
      <c r="H88" s="32" t="s">
        <v>459</v>
      </c>
      <c r="I88" s="33"/>
      <c r="J88" s="98"/>
      <c r="K88" s="34"/>
      <c r="L88" s="137">
        <f>SUM(L86:L86)</f>
        <v>0</v>
      </c>
      <c r="M88" s="137">
        <f>SUM(M86:M86)</f>
        <v>0</v>
      </c>
      <c r="N88" s="148"/>
    </row>
    <row r="89" spans="1:14" ht="15" thickBot="1" x14ac:dyDescent="0.4">
      <c r="A89" s="470"/>
      <c r="B89" s="56"/>
      <c r="C89" s="8"/>
      <c r="D89" s="8"/>
      <c r="E89" s="8"/>
      <c r="F89" s="8"/>
      <c r="G89" s="8"/>
      <c r="H89" s="141"/>
      <c r="I89" s="141"/>
      <c r="J89" s="162"/>
      <c r="K89" s="141"/>
      <c r="L89" s="141"/>
      <c r="M89" s="141"/>
      <c r="N89" s="148"/>
    </row>
    <row r="90" spans="1:14" ht="19" thickBot="1" x14ac:dyDescent="0.4">
      <c r="A90" s="470"/>
      <c r="B90" s="453" t="s">
        <v>45</v>
      </c>
      <c r="C90" s="454"/>
      <c r="D90" s="454"/>
      <c r="E90" s="454"/>
      <c r="F90" s="454"/>
      <c r="G90" s="140"/>
      <c r="H90" s="140" t="s">
        <v>459</v>
      </c>
      <c r="I90" s="50"/>
      <c r="J90" s="94"/>
      <c r="K90" s="51"/>
      <c r="L90" s="52">
        <f>L88+L80+L84</f>
        <v>0</v>
      </c>
      <c r="M90" s="53">
        <f>M88+M80+M84</f>
        <v>0</v>
      </c>
      <c r="N90" s="148"/>
    </row>
    <row r="91" spans="1:14" ht="19" thickBot="1" x14ac:dyDescent="0.4">
      <c r="A91" s="471"/>
      <c r="B91" s="58"/>
      <c r="C91" s="21"/>
      <c r="D91" s="21"/>
      <c r="E91" s="14"/>
      <c r="F91" s="15"/>
      <c r="G91" s="15"/>
      <c r="H91" s="16"/>
      <c r="I91" s="17"/>
      <c r="J91" s="96"/>
      <c r="K91" s="277"/>
      <c r="L91" s="278"/>
      <c r="M91" s="276"/>
      <c r="N91" s="148"/>
    </row>
    <row r="92" spans="1:14" ht="18.5" x14ac:dyDescent="0.35">
      <c r="A92" s="472" t="s">
        <v>59</v>
      </c>
      <c r="B92" s="249"/>
      <c r="C92" s="250"/>
      <c r="D92" s="250"/>
      <c r="E92" s="251"/>
      <c r="F92" s="217"/>
      <c r="G92" s="217"/>
      <c r="H92" s="229"/>
      <c r="I92" s="211"/>
      <c r="J92" s="212"/>
      <c r="K92" s="220"/>
      <c r="L92" s="220"/>
      <c r="M92" s="220"/>
      <c r="N92" s="146"/>
    </row>
    <row r="93" spans="1:14" ht="46.5" customHeight="1" x14ac:dyDescent="0.35">
      <c r="A93" s="473"/>
      <c r="B93" s="57">
        <v>115</v>
      </c>
      <c r="C93" s="35" t="s">
        <v>60</v>
      </c>
      <c r="D93" s="35" t="s">
        <v>224</v>
      </c>
      <c r="E93" s="40"/>
      <c r="F93" s="160" t="s">
        <v>628</v>
      </c>
      <c r="G93" s="216" t="s">
        <v>73</v>
      </c>
      <c r="H93" s="239" t="s">
        <v>516</v>
      </c>
      <c r="I93" s="211" t="s">
        <v>6</v>
      </c>
      <c r="J93" s="212">
        <v>1</v>
      </c>
      <c r="K93" s="312">
        <v>0</v>
      </c>
      <c r="L93" s="220">
        <f>K93*J93</f>
        <v>0</v>
      </c>
      <c r="M93" s="312">
        <v>0</v>
      </c>
      <c r="N93" s="148" t="s">
        <v>541</v>
      </c>
    </row>
    <row r="94" spans="1:14" ht="29" x14ac:dyDescent="0.35">
      <c r="A94" s="473"/>
      <c r="B94" s="249"/>
      <c r="C94" s="250"/>
      <c r="D94" s="250"/>
      <c r="E94" s="251"/>
      <c r="F94" s="217"/>
      <c r="G94" s="216"/>
      <c r="H94" s="239" t="s">
        <v>521</v>
      </c>
      <c r="I94" s="211" t="s">
        <v>6</v>
      </c>
      <c r="J94" s="212">
        <v>1</v>
      </c>
      <c r="K94" s="312">
        <v>0</v>
      </c>
      <c r="L94" s="220">
        <f>K94*J94</f>
        <v>0</v>
      </c>
      <c r="M94" s="312">
        <v>0</v>
      </c>
      <c r="N94" s="148" t="s">
        <v>551</v>
      </c>
    </row>
    <row r="95" spans="1:14" ht="18.5" x14ac:dyDescent="0.35">
      <c r="A95" s="473"/>
      <c r="B95" s="249"/>
      <c r="C95" s="250"/>
      <c r="D95" s="250"/>
      <c r="E95" s="251"/>
      <c r="F95" s="217"/>
      <c r="G95" s="216"/>
      <c r="H95" s="239" t="s">
        <v>62</v>
      </c>
      <c r="I95" s="211" t="s">
        <v>6</v>
      </c>
      <c r="J95" s="212">
        <v>1</v>
      </c>
      <c r="K95" s="312">
        <v>0</v>
      </c>
      <c r="L95" s="220">
        <f>K95*J95</f>
        <v>0</v>
      </c>
      <c r="M95" s="312">
        <v>0</v>
      </c>
      <c r="N95" s="148" t="s">
        <v>550</v>
      </c>
    </row>
    <row r="96" spans="1:14" x14ac:dyDescent="0.35">
      <c r="A96" s="473"/>
      <c r="B96" s="249"/>
      <c r="C96" s="251"/>
      <c r="D96" s="251"/>
      <c r="E96" s="251"/>
      <c r="F96" s="217"/>
      <c r="G96" s="217"/>
      <c r="H96" s="239"/>
      <c r="I96" s="211"/>
      <c r="J96" s="212"/>
      <c r="K96" s="220"/>
      <c r="L96" s="220"/>
      <c r="M96" s="220"/>
      <c r="N96" s="148"/>
    </row>
    <row r="97" spans="1:14" x14ac:dyDescent="0.35">
      <c r="A97" s="473"/>
      <c r="B97" s="249"/>
      <c r="C97" s="251"/>
      <c r="D97" s="251"/>
      <c r="E97" s="251"/>
      <c r="F97" s="217"/>
      <c r="G97" s="217" t="s">
        <v>74</v>
      </c>
      <c r="H97" s="239" t="s">
        <v>381</v>
      </c>
      <c r="I97" s="211" t="s">
        <v>279</v>
      </c>
      <c r="J97" s="212">
        <v>2</v>
      </c>
      <c r="K97" s="312">
        <v>0</v>
      </c>
      <c r="L97" s="229"/>
      <c r="M97" s="316">
        <f>K97*J97</f>
        <v>0</v>
      </c>
      <c r="N97" s="148"/>
    </row>
    <row r="98" spans="1:14" x14ac:dyDescent="0.35">
      <c r="A98" s="473"/>
      <c r="B98" s="249"/>
      <c r="C98" s="251"/>
      <c r="D98" s="251"/>
      <c r="E98" s="251"/>
      <c r="F98" s="217"/>
      <c r="G98" s="217"/>
      <c r="H98" s="239" t="s">
        <v>382</v>
      </c>
      <c r="I98" s="211" t="s">
        <v>279</v>
      </c>
      <c r="J98" s="212">
        <v>1</v>
      </c>
      <c r="K98" s="312">
        <v>0</v>
      </c>
      <c r="L98" s="229"/>
      <c r="M98" s="316">
        <f>K98*J98</f>
        <v>0</v>
      </c>
      <c r="N98" s="148"/>
    </row>
    <row r="99" spans="1:14" x14ac:dyDescent="0.35">
      <c r="A99" s="473"/>
      <c r="B99" s="249"/>
      <c r="C99" s="251"/>
      <c r="D99" s="251"/>
      <c r="E99" s="251"/>
      <c r="F99" s="217"/>
      <c r="G99" s="217"/>
      <c r="H99" s="239"/>
      <c r="I99" s="211"/>
      <c r="J99" s="212"/>
      <c r="K99" s="220"/>
      <c r="L99" s="220"/>
      <c r="M99" s="220"/>
      <c r="N99" s="148"/>
    </row>
    <row r="100" spans="1:14" ht="15.5" x14ac:dyDescent="0.35">
      <c r="A100" s="473"/>
      <c r="B100" s="260"/>
      <c r="C100" s="261"/>
      <c r="D100" s="261"/>
      <c r="E100" s="261"/>
      <c r="F100" s="262"/>
      <c r="G100" s="255"/>
      <c r="H100" s="234" t="s">
        <v>459</v>
      </c>
      <c r="I100" s="256"/>
      <c r="J100" s="257"/>
      <c r="K100" s="258"/>
      <c r="L100" s="137">
        <f>SUM(L93:L98)</f>
        <v>0</v>
      </c>
      <c r="M100" s="137">
        <f>SUM(M93:M98)</f>
        <v>0</v>
      </c>
      <c r="N100" s="148"/>
    </row>
    <row r="101" spans="1:14" s="135" customFormat="1" x14ac:dyDescent="0.35">
      <c r="A101" s="473"/>
      <c r="B101" s="249"/>
      <c r="C101" s="251"/>
      <c r="D101" s="251"/>
      <c r="E101" s="251"/>
      <c r="F101" s="263"/>
      <c r="G101" s="263"/>
      <c r="H101" s="240"/>
      <c r="I101" s="211"/>
      <c r="J101" s="212"/>
      <c r="K101" s="220"/>
      <c r="L101" s="240"/>
      <c r="M101" s="240"/>
      <c r="N101" s="165"/>
    </row>
    <row r="102" spans="1:14" s="135" customFormat="1" ht="18.5" x14ac:dyDescent="0.35">
      <c r="A102" s="473"/>
      <c r="B102" s="57">
        <v>116</v>
      </c>
      <c r="C102" s="35" t="s">
        <v>60</v>
      </c>
      <c r="D102" s="35" t="s">
        <v>225</v>
      </c>
      <c r="E102" s="40"/>
      <c r="F102" s="160" t="s">
        <v>428</v>
      </c>
      <c r="G102" s="164" t="s">
        <v>73</v>
      </c>
      <c r="H102" s="239" t="s">
        <v>429</v>
      </c>
      <c r="I102" s="211" t="s">
        <v>6</v>
      </c>
      <c r="J102" s="212">
        <v>1</v>
      </c>
      <c r="K102" s="312">
        <v>0</v>
      </c>
      <c r="L102" s="220">
        <f>K102*J102</f>
        <v>0</v>
      </c>
      <c r="M102" s="312">
        <v>0</v>
      </c>
      <c r="N102" s="165"/>
    </row>
    <row r="103" spans="1:14" s="135" customFormat="1" x14ac:dyDescent="0.35">
      <c r="A103" s="473"/>
      <c r="B103" s="249"/>
      <c r="C103" s="251"/>
      <c r="D103" s="251"/>
      <c r="E103" s="251"/>
      <c r="F103" s="217"/>
      <c r="G103" s="217"/>
      <c r="H103" s="239"/>
      <c r="I103" s="211"/>
      <c r="J103" s="212"/>
      <c r="K103" s="220"/>
      <c r="L103" s="220"/>
      <c r="M103" s="220"/>
      <c r="N103" s="148"/>
    </row>
    <row r="104" spans="1:14" s="135" customFormat="1" ht="15.5" x14ac:dyDescent="0.35">
      <c r="A104" s="473"/>
      <c r="B104" s="260"/>
      <c r="C104" s="261"/>
      <c r="D104" s="261"/>
      <c r="E104" s="261"/>
      <c r="F104" s="262"/>
      <c r="G104" s="255"/>
      <c r="H104" s="234" t="s">
        <v>459</v>
      </c>
      <c r="I104" s="256"/>
      <c r="J104" s="257"/>
      <c r="K104" s="258"/>
      <c r="L104" s="137">
        <f>SUM(L102)</f>
        <v>0</v>
      </c>
      <c r="M104" s="137">
        <f>SUM(M102)</f>
        <v>0</v>
      </c>
      <c r="N104" s="148"/>
    </row>
    <row r="105" spans="1:14" ht="15" thickBot="1" x14ac:dyDescent="0.4">
      <c r="A105" s="473"/>
      <c r="B105" s="59"/>
      <c r="C105" s="61"/>
      <c r="D105" s="61"/>
      <c r="E105" s="61"/>
      <c r="F105" s="61"/>
      <c r="G105" s="61"/>
      <c r="H105" s="166"/>
      <c r="I105" s="166"/>
      <c r="J105" s="167"/>
      <c r="K105" s="166"/>
      <c r="L105" s="166"/>
      <c r="M105" s="166"/>
      <c r="N105" s="148"/>
    </row>
    <row r="106" spans="1:14" ht="19" thickBot="1" x14ac:dyDescent="0.4">
      <c r="A106" s="473"/>
      <c r="B106" s="453" t="s">
        <v>56</v>
      </c>
      <c r="C106" s="454"/>
      <c r="D106" s="454"/>
      <c r="E106" s="454"/>
      <c r="F106" s="454"/>
      <c r="G106" s="140"/>
      <c r="H106" s="140" t="s">
        <v>459</v>
      </c>
      <c r="I106" s="50"/>
      <c r="J106" s="94"/>
      <c r="K106" s="51"/>
      <c r="L106" s="52">
        <f>L100+L104</f>
        <v>0</v>
      </c>
      <c r="M106" s="53">
        <f>M100+M104</f>
        <v>0</v>
      </c>
      <c r="N106" s="148"/>
    </row>
    <row r="107" spans="1:14" ht="19" thickBot="1" x14ac:dyDescent="0.4">
      <c r="A107" s="474"/>
      <c r="B107" s="293"/>
      <c r="C107" s="294"/>
      <c r="D107" s="294"/>
      <c r="E107" s="295"/>
      <c r="F107" s="296"/>
      <c r="G107" s="296"/>
      <c r="H107" s="297"/>
      <c r="I107" s="276"/>
      <c r="J107" s="298"/>
      <c r="K107" s="277"/>
      <c r="L107" s="278"/>
      <c r="M107" s="276"/>
      <c r="N107" s="149"/>
    </row>
    <row r="108" spans="1:14" ht="18.5" x14ac:dyDescent="0.35">
      <c r="A108" s="469" t="s">
        <v>71</v>
      </c>
      <c r="B108" s="56"/>
      <c r="C108" s="20"/>
      <c r="D108" s="20"/>
      <c r="E108" s="8"/>
      <c r="F108" s="13"/>
      <c r="G108" s="13"/>
      <c r="H108" s="141"/>
      <c r="I108" s="68"/>
      <c r="J108" s="95"/>
      <c r="K108" s="69"/>
      <c r="L108" s="69"/>
      <c r="M108" s="220"/>
      <c r="N108" s="146"/>
    </row>
    <row r="109" spans="1:14" ht="18.75" customHeight="1" x14ac:dyDescent="0.35">
      <c r="A109" s="470"/>
      <c r="B109" s="57">
        <v>117</v>
      </c>
      <c r="C109" s="35" t="s">
        <v>72</v>
      </c>
      <c r="D109" s="35" t="s">
        <v>224</v>
      </c>
      <c r="E109" s="40"/>
      <c r="F109" s="160" t="s">
        <v>718</v>
      </c>
      <c r="G109" s="161"/>
      <c r="H109" s="103" t="s">
        <v>234</v>
      </c>
      <c r="I109" s="68" t="s">
        <v>6</v>
      </c>
      <c r="J109" s="95">
        <v>20</v>
      </c>
      <c r="K109" s="312">
        <v>0</v>
      </c>
      <c r="L109" s="69">
        <f>K109*J109</f>
        <v>0</v>
      </c>
      <c r="M109" s="312">
        <v>0</v>
      </c>
      <c r="N109" s="148"/>
    </row>
    <row r="110" spans="1:14" ht="18.5" x14ac:dyDescent="0.35">
      <c r="A110" s="470"/>
      <c r="B110" s="56"/>
      <c r="C110" s="20"/>
      <c r="D110" s="20"/>
      <c r="E110" s="8"/>
      <c r="F110" s="13"/>
      <c r="G110" s="161"/>
      <c r="H110" s="103"/>
      <c r="I110" s="68"/>
      <c r="J110" s="95"/>
      <c r="K110" s="69"/>
      <c r="L110" s="69"/>
      <c r="M110" s="220"/>
      <c r="N110" s="148"/>
    </row>
    <row r="111" spans="1:14" ht="15.5" x14ac:dyDescent="0.35">
      <c r="A111" s="470"/>
      <c r="B111" s="76"/>
      <c r="C111" s="77"/>
      <c r="D111" s="77"/>
      <c r="E111" s="77"/>
      <c r="F111" s="30"/>
      <c r="G111" s="31"/>
      <c r="H111" s="32" t="s">
        <v>459</v>
      </c>
      <c r="I111" s="33"/>
      <c r="J111" s="98"/>
      <c r="K111" s="34"/>
      <c r="L111" s="137">
        <f>SUM(L109:L110)</f>
        <v>0</v>
      </c>
      <c r="M111" s="137">
        <f>SUM(M109:M110)</f>
        <v>0</v>
      </c>
      <c r="N111" s="148"/>
    </row>
    <row r="112" spans="1:14" ht="15" thickBot="1" x14ac:dyDescent="0.4">
      <c r="A112" s="470"/>
      <c r="B112" s="56"/>
      <c r="C112" s="8"/>
      <c r="D112" s="8"/>
      <c r="E112" s="8"/>
      <c r="F112" s="8"/>
      <c r="G112" s="8"/>
      <c r="H112" s="141"/>
      <c r="I112" s="141"/>
      <c r="J112" s="162"/>
      <c r="K112" s="141"/>
      <c r="L112" s="141"/>
      <c r="M112" s="141"/>
      <c r="N112" s="148"/>
    </row>
    <row r="113" spans="1:14" ht="19" thickBot="1" x14ac:dyDescent="0.4">
      <c r="A113" s="470"/>
      <c r="B113" s="453" t="s">
        <v>57</v>
      </c>
      <c r="C113" s="454"/>
      <c r="D113" s="454"/>
      <c r="E113" s="454"/>
      <c r="F113" s="454"/>
      <c r="G113" s="140"/>
      <c r="H113" s="140" t="s">
        <v>459</v>
      </c>
      <c r="I113" s="50"/>
      <c r="J113" s="94"/>
      <c r="K113" s="51"/>
      <c r="L113" s="52">
        <f>L111</f>
        <v>0</v>
      </c>
      <c r="M113" s="53">
        <f>M111</f>
        <v>0</v>
      </c>
      <c r="N113" s="171"/>
    </row>
    <row r="114" spans="1:14" ht="19" thickBot="1" x14ac:dyDescent="0.4">
      <c r="A114" s="471"/>
      <c r="B114" s="58"/>
      <c r="C114" s="21"/>
      <c r="D114" s="21"/>
      <c r="E114" s="14"/>
      <c r="F114" s="15"/>
      <c r="G114" s="15"/>
      <c r="H114" s="16"/>
      <c r="I114" s="17"/>
      <c r="J114" s="96"/>
      <c r="K114" s="277"/>
      <c r="L114" s="278"/>
      <c r="M114" s="276"/>
      <c r="N114" s="149"/>
    </row>
    <row r="115" spans="1:14" x14ac:dyDescent="0.35">
      <c r="A115" s="78"/>
      <c r="J115" s="99"/>
    </row>
    <row r="116" spans="1:14" x14ac:dyDescent="0.35">
      <c r="A116" s="78"/>
      <c r="J116" s="99"/>
    </row>
    <row r="117" spans="1:14" x14ac:dyDescent="0.35">
      <c r="A117" s="78"/>
      <c r="J117" s="99"/>
    </row>
    <row r="118" spans="1:14" x14ac:dyDescent="0.35">
      <c r="A118" s="78"/>
      <c r="J118" s="99"/>
    </row>
    <row r="119" spans="1:14" x14ac:dyDescent="0.35">
      <c r="A119" s="78"/>
      <c r="J119" s="99"/>
    </row>
    <row r="120" spans="1:14" x14ac:dyDescent="0.35">
      <c r="A120" s="78"/>
      <c r="J120" s="99"/>
    </row>
    <row r="121" spans="1:14" x14ac:dyDescent="0.35">
      <c r="A121" s="78"/>
      <c r="J121" s="99"/>
    </row>
    <row r="122" spans="1:14" x14ac:dyDescent="0.35">
      <c r="A122" s="78"/>
      <c r="J122" s="99"/>
    </row>
    <row r="123" spans="1:14" x14ac:dyDescent="0.35">
      <c r="A123" s="78"/>
      <c r="J123" s="99"/>
    </row>
    <row r="124" spans="1:14" x14ac:dyDescent="0.35">
      <c r="A124" s="78"/>
      <c r="J124" s="99"/>
    </row>
    <row r="125" spans="1:14" x14ac:dyDescent="0.35">
      <c r="A125" s="78"/>
      <c r="J125" s="99"/>
    </row>
    <row r="126" spans="1:14" x14ac:dyDescent="0.35">
      <c r="A126" s="78"/>
      <c r="J126" s="99"/>
    </row>
    <row r="127" spans="1:14" x14ac:dyDescent="0.35">
      <c r="A127" s="78"/>
      <c r="J127" s="99"/>
    </row>
    <row r="128" spans="1:14" x14ac:dyDescent="0.35">
      <c r="A128" s="78"/>
      <c r="J128" s="99"/>
    </row>
    <row r="129" spans="1:10" x14ac:dyDescent="0.35">
      <c r="A129" s="78"/>
      <c r="J129" s="99"/>
    </row>
    <row r="130" spans="1:10" x14ac:dyDescent="0.35">
      <c r="A130" s="78"/>
      <c r="J130" s="99"/>
    </row>
    <row r="131" spans="1:10" x14ac:dyDescent="0.35">
      <c r="A131" s="78"/>
      <c r="J131" s="99"/>
    </row>
    <row r="132" spans="1:10" x14ac:dyDescent="0.35">
      <c r="A132" s="78"/>
      <c r="J132" s="99"/>
    </row>
    <row r="133" spans="1:10" x14ac:dyDescent="0.35">
      <c r="A133" s="78"/>
      <c r="J133" s="99"/>
    </row>
    <row r="134" spans="1:10" x14ac:dyDescent="0.35">
      <c r="A134" s="78"/>
      <c r="J134" s="99"/>
    </row>
    <row r="135" spans="1:10" x14ac:dyDescent="0.35">
      <c r="A135" s="78"/>
      <c r="J135" s="99"/>
    </row>
    <row r="136" spans="1:10" x14ac:dyDescent="0.35">
      <c r="A136" s="78"/>
      <c r="J136" s="99"/>
    </row>
    <row r="137" spans="1:10" x14ac:dyDescent="0.35">
      <c r="A137" s="78"/>
      <c r="J137" s="99"/>
    </row>
    <row r="138" spans="1:10" x14ac:dyDescent="0.35">
      <c r="A138" s="78"/>
      <c r="J138" s="99"/>
    </row>
    <row r="139" spans="1:10" x14ac:dyDescent="0.35">
      <c r="A139" s="78"/>
      <c r="J139" s="99"/>
    </row>
    <row r="140" spans="1:10" x14ac:dyDescent="0.35">
      <c r="A140" s="78"/>
      <c r="J140" s="99"/>
    </row>
    <row r="141" spans="1:10" x14ac:dyDescent="0.35">
      <c r="A141" s="78"/>
      <c r="J141" s="99"/>
    </row>
    <row r="142" spans="1:10" x14ac:dyDescent="0.35">
      <c r="A142" s="78"/>
      <c r="J142" s="99"/>
    </row>
    <row r="143" spans="1:10" x14ac:dyDescent="0.35">
      <c r="A143" s="78"/>
      <c r="J143" s="99"/>
    </row>
    <row r="144" spans="1:10" x14ac:dyDescent="0.35">
      <c r="A144" s="78"/>
      <c r="J144" s="99"/>
    </row>
    <row r="145" spans="1:10" x14ac:dyDescent="0.35">
      <c r="A145" s="78"/>
      <c r="J145" s="99"/>
    </row>
    <row r="146" spans="1:10" x14ac:dyDescent="0.35">
      <c r="A146" s="78"/>
      <c r="J146" s="99"/>
    </row>
    <row r="147" spans="1:10" x14ac:dyDescent="0.35">
      <c r="A147" s="78"/>
      <c r="J147" s="99"/>
    </row>
    <row r="148" spans="1:10" x14ac:dyDescent="0.35">
      <c r="A148" s="78"/>
      <c r="J148" s="99"/>
    </row>
    <row r="149" spans="1:10" x14ac:dyDescent="0.35">
      <c r="A149" s="78"/>
      <c r="J149" s="99"/>
    </row>
    <row r="150" spans="1:10" x14ac:dyDescent="0.35">
      <c r="A150" s="78"/>
      <c r="J150" s="99"/>
    </row>
    <row r="151" spans="1:10" x14ac:dyDescent="0.35">
      <c r="A151" s="78"/>
      <c r="J151" s="99"/>
    </row>
    <row r="152" spans="1:10" x14ac:dyDescent="0.35">
      <c r="A152" s="78"/>
      <c r="J152" s="99"/>
    </row>
    <row r="153" spans="1:10" x14ac:dyDescent="0.35">
      <c r="J153" s="99"/>
    </row>
    <row r="154" spans="1:10" x14ac:dyDescent="0.35">
      <c r="J154" s="99"/>
    </row>
    <row r="155" spans="1:10" x14ac:dyDescent="0.35">
      <c r="J155" s="99"/>
    </row>
    <row r="156" spans="1:10" x14ac:dyDescent="0.35">
      <c r="J156" s="99"/>
    </row>
    <row r="157" spans="1:10" x14ac:dyDescent="0.35">
      <c r="J157" s="99"/>
    </row>
    <row r="158" spans="1:10" x14ac:dyDescent="0.35">
      <c r="J158" s="99"/>
    </row>
    <row r="159" spans="1:10" x14ac:dyDescent="0.35">
      <c r="J159" s="99"/>
    </row>
    <row r="160" spans="1:10" x14ac:dyDescent="0.35">
      <c r="J160" s="99"/>
    </row>
    <row r="161" spans="10:10" x14ac:dyDescent="0.35">
      <c r="J161" s="99"/>
    </row>
    <row r="162" spans="10:10" x14ac:dyDescent="0.35">
      <c r="J162" s="99"/>
    </row>
    <row r="163" spans="10:10" x14ac:dyDescent="0.35">
      <c r="J163" s="99"/>
    </row>
    <row r="164" spans="10:10" x14ac:dyDescent="0.35">
      <c r="J164" s="99"/>
    </row>
    <row r="165" spans="10:10" x14ac:dyDescent="0.35">
      <c r="J165" s="99"/>
    </row>
    <row r="166" spans="10:10" x14ac:dyDescent="0.35">
      <c r="J166" s="99"/>
    </row>
    <row r="167" spans="10:10" x14ac:dyDescent="0.35">
      <c r="J167" s="99"/>
    </row>
    <row r="168" spans="10:10" x14ac:dyDescent="0.35">
      <c r="J168" s="99"/>
    </row>
    <row r="169" spans="10:10" x14ac:dyDescent="0.35">
      <c r="J169" s="99"/>
    </row>
    <row r="170" spans="10:10" x14ac:dyDescent="0.35">
      <c r="J170" s="99"/>
    </row>
    <row r="171" spans="10:10" x14ac:dyDescent="0.35">
      <c r="J171" s="99"/>
    </row>
    <row r="172" spans="10:10" x14ac:dyDescent="0.35">
      <c r="J172" s="99"/>
    </row>
    <row r="173" spans="10:10" x14ac:dyDescent="0.35">
      <c r="J173" s="99"/>
    </row>
    <row r="174" spans="10:10" x14ac:dyDescent="0.35">
      <c r="J174" s="99"/>
    </row>
    <row r="175" spans="10:10" x14ac:dyDescent="0.35">
      <c r="J175" s="99"/>
    </row>
    <row r="176" spans="10:10" x14ac:dyDescent="0.35">
      <c r="J176" s="99"/>
    </row>
    <row r="177" spans="10:10" x14ac:dyDescent="0.35">
      <c r="J177" s="99"/>
    </row>
    <row r="178" spans="10:10" x14ac:dyDescent="0.35">
      <c r="J178" s="99"/>
    </row>
    <row r="179" spans="10:10" x14ac:dyDescent="0.35">
      <c r="J179" s="99"/>
    </row>
    <row r="180" spans="10:10" x14ac:dyDescent="0.35">
      <c r="J180" s="99"/>
    </row>
    <row r="181" spans="10:10" x14ac:dyDescent="0.35">
      <c r="J181" s="99"/>
    </row>
    <row r="182" spans="10:10" x14ac:dyDescent="0.35">
      <c r="J182" s="99"/>
    </row>
    <row r="183" spans="10:10" x14ac:dyDescent="0.35">
      <c r="J183" s="99"/>
    </row>
    <row r="184" spans="10:10" x14ac:dyDescent="0.35">
      <c r="J184" s="99"/>
    </row>
    <row r="185" spans="10:10" x14ac:dyDescent="0.35">
      <c r="J185" s="99"/>
    </row>
    <row r="186" spans="10:10" x14ac:dyDescent="0.35">
      <c r="J186" s="99"/>
    </row>
    <row r="187" spans="10:10" x14ac:dyDescent="0.35">
      <c r="J187" s="99"/>
    </row>
    <row r="188" spans="10:10" x14ac:dyDescent="0.35">
      <c r="J188" s="99"/>
    </row>
    <row r="189" spans="10:10" x14ac:dyDescent="0.35">
      <c r="J189" s="99"/>
    </row>
    <row r="190" spans="10:10" x14ac:dyDescent="0.35">
      <c r="J190" s="99"/>
    </row>
    <row r="191" spans="10:10" x14ac:dyDescent="0.35">
      <c r="J191" s="99"/>
    </row>
    <row r="192" spans="10:10" x14ac:dyDescent="0.35">
      <c r="J192" s="99"/>
    </row>
    <row r="193" spans="10:10" x14ac:dyDescent="0.35">
      <c r="J193" s="99"/>
    </row>
    <row r="194" spans="10:10" x14ac:dyDescent="0.35">
      <c r="J194" s="99"/>
    </row>
    <row r="195" spans="10:10" x14ac:dyDescent="0.35">
      <c r="J195" s="99"/>
    </row>
    <row r="196" spans="10:10" x14ac:dyDescent="0.35">
      <c r="J196" s="99"/>
    </row>
    <row r="197" spans="10:10" x14ac:dyDescent="0.35">
      <c r="J197" s="99"/>
    </row>
    <row r="198" spans="10:10" x14ac:dyDescent="0.35">
      <c r="J198" s="99"/>
    </row>
    <row r="199" spans="10:10" x14ac:dyDescent="0.35">
      <c r="J199" s="99"/>
    </row>
    <row r="200" spans="10:10" x14ac:dyDescent="0.35">
      <c r="J200" s="99"/>
    </row>
    <row r="201" spans="10:10" x14ac:dyDescent="0.35">
      <c r="J201" s="99"/>
    </row>
    <row r="202" spans="10:10" x14ac:dyDescent="0.35">
      <c r="J202" s="99"/>
    </row>
    <row r="203" spans="10:10" x14ac:dyDescent="0.35">
      <c r="J203" s="99"/>
    </row>
    <row r="204" spans="10:10" x14ac:dyDescent="0.35">
      <c r="J204" s="99"/>
    </row>
    <row r="205" spans="10:10" x14ac:dyDescent="0.35">
      <c r="J205" s="99"/>
    </row>
    <row r="206" spans="10:10" x14ac:dyDescent="0.35">
      <c r="J206" s="99"/>
    </row>
    <row r="207" spans="10:10" x14ac:dyDescent="0.35">
      <c r="J207" s="99"/>
    </row>
    <row r="208" spans="10:10" x14ac:dyDescent="0.35">
      <c r="J208" s="99"/>
    </row>
    <row r="209" spans="10:10" x14ac:dyDescent="0.35">
      <c r="J209" s="99"/>
    </row>
    <row r="210" spans="10:10" x14ac:dyDescent="0.35">
      <c r="J210" s="99"/>
    </row>
    <row r="211" spans="10:10" x14ac:dyDescent="0.35">
      <c r="J211" s="99"/>
    </row>
    <row r="212" spans="10:10" x14ac:dyDescent="0.35">
      <c r="J212" s="99"/>
    </row>
    <row r="213" spans="10:10" x14ac:dyDescent="0.35">
      <c r="J213" s="99"/>
    </row>
    <row r="214" spans="10:10" x14ac:dyDescent="0.35">
      <c r="J214" s="99"/>
    </row>
    <row r="215" spans="10:10" x14ac:dyDescent="0.35">
      <c r="J215" s="99"/>
    </row>
    <row r="216" spans="10:10" x14ac:dyDescent="0.35">
      <c r="J216" s="99"/>
    </row>
    <row r="217" spans="10:10" x14ac:dyDescent="0.35">
      <c r="J217" s="99"/>
    </row>
    <row r="218" spans="10:10" x14ac:dyDescent="0.35">
      <c r="J218" s="99"/>
    </row>
    <row r="219" spans="10:10" x14ac:dyDescent="0.35">
      <c r="J219" s="99"/>
    </row>
    <row r="220" spans="10:10" x14ac:dyDescent="0.35">
      <c r="J220" s="99"/>
    </row>
    <row r="221" spans="10:10" x14ac:dyDescent="0.35">
      <c r="J221" s="99"/>
    </row>
    <row r="222" spans="10:10" x14ac:dyDescent="0.35">
      <c r="J222" s="99"/>
    </row>
    <row r="223" spans="10:10" x14ac:dyDescent="0.35">
      <c r="J223" s="99"/>
    </row>
    <row r="224" spans="10:10" x14ac:dyDescent="0.35">
      <c r="J224" s="99"/>
    </row>
    <row r="225" spans="10:10" x14ac:dyDescent="0.35">
      <c r="J225" s="99"/>
    </row>
    <row r="226" spans="10:10" x14ac:dyDescent="0.35">
      <c r="J226" s="99"/>
    </row>
    <row r="227" spans="10:10" x14ac:dyDescent="0.35">
      <c r="J227" s="99"/>
    </row>
    <row r="228" spans="10:10" x14ac:dyDescent="0.35">
      <c r="J228" s="99"/>
    </row>
    <row r="229" spans="10:10" x14ac:dyDescent="0.35">
      <c r="J229" s="99"/>
    </row>
    <row r="230" spans="10:10" x14ac:dyDescent="0.35">
      <c r="J230" s="99"/>
    </row>
    <row r="231" spans="10:10" x14ac:dyDescent="0.35">
      <c r="J231" s="99"/>
    </row>
    <row r="232" spans="10:10" x14ac:dyDescent="0.35">
      <c r="J232" s="99"/>
    </row>
    <row r="233" spans="10:10" x14ac:dyDescent="0.35">
      <c r="J233" s="99"/>
    </row>
    <row r="234" spans="10:10" x14ac:dyDescent="0.35">
      <c r="J234" s="99"/>
    </row>
    <row r="235" spans="10:10" x14ac:dyDescent="0.35">
      <c r="J235" s="99"/>
    </row>
    <row r="236" spans="10:10" x14ac:dyDescent="0.35">
      <c r="J236" s="99"/>
    </row>
    <row r="237" spans="10:10" x14ac:dyDescent="0.35">
      <c r="J237" s="99"/>
    </row>
    <row r="238" spans="10:10" x14ac:dyDescent="0.35">
      <c r="J238" s="99"/>
    </row>
    <row r="239" spans="10:10" x14ac:dyDescent="0.35">
      <c r="J239" s="99"/>
    </row>
    <row r="240" spans="10:10" x14ac:dyDescent="0.35">
      <c r="J240" s="99"/>
    </row>
    <row r="241" spans="10:10" x14ac:dyDescent="0.35">
      <c r="J241" s="99"/>
    </row>
    <row r="242" spans="10:10" x14ac:dyDescent="0.35">
      <c r="J242" s="99"/>
    </row>
    <row r="243" spans="10:10" x14ac:dyDescent="0.35">
      <c r="J243" s="99"/>
    </row>
    <row r="244" spans="10:10" x14ac:dyDescent="0.35">
      <c r="J244" s="99"/>
    </row>
    <row r="245" spans="10:10" x14ac:dyDescent="0.35">
      <c r="J245" s="99"/>
    </row>
    <row r="246" spans="10:10" x14ac:dyDescent="0.35">
      <c r="J246" s="99"/>
    </row>
    <row r="247" spans="10:10" x14ac:dyDescent="0.35">
      <c r="J247" s="99"/>
    </row>
    <row r="248" spans="10:10" x14ac:dyDescent="0.35">
      <c r="J248" s="99"/>
    </row>
    <row r="249" spans="10:10" x14ac:dyDescent="0.35">
      <c r="J249" s="99"/>
    </row>
    <row r="250" spans="10:10" x14ac:dyDescent="0.35">
      <c r="J250" s="99"/>
    </row>
    <row r="251" spans="10:10" x14ac:dyDescent="0.35">
      <c r="J251" s="99"/>
    </row>
    <row r="252" spans="10:10" x14ac:dyDescent="0.35">
      <c r="J252" s="99"/>
    </row>
    <row r="253" spans="10:10" x14ac:dyDescent="0.35">
      <c r="J253" s="99"/>
    </row>
    <row r="254" spans="10:10" x14ac:dyDescent="0.35">
      <c r="J254" s="99"/>
    </row>
    <row r="255" spans="10:10" x14ac:dyDescent="0.35">
      <c r="J255" s="99"/>
    </row>
    <row r="256" spans="10:10" x14ac:dyDescent="0.35">
      <c r="J256" s="99"/>
    </row>
    <row r="257" spans="10:10" x14ac:dyDescent="0.35">
      <c r="J257" s="99"/>
    </row>
    <row r="258" spans="10:10" x14ac:dyDescent="0.35">
      <c r="J258" s="99"/>
    </row>
    <row r="259" spans="10:10" x14ac:dyDescent="0.35">
      <c r="J259" s="99"/>
    </row>
    <row r="260" spans="10:10" x14ac:dyDescent="0.35">
      <c r="J260" s="99"/>
    </row>
    <row r="261" spans="10:10" x14ac:dyDescent="0.35">
      <c r="J261" s="99"/>
    </row>
    <row r="262" spans="10:10" x14ac:dyDescent="0.35">
      <c r="J262" s="99"/>
    </row>
    <row r="263" spans="10:10" x14ac:dyDescent="0.35">
      <c r="J263" s="99"/>
    </row>
    <row r="264" spans="10:10" x14ac:dyDescent="0.35">
      <c r="J264" s="99"/>
    </row>
    <row r="265" spans="10:10" x14ac:dyDescent="0.35">
      <c r="J265" s="99"/>
    </row>
    <row r="266" spans="10:10" x14ac:dyDescent="0.35">
      <c r="J266" s="99"/>
    </row>
    <row r="267" spans="10:10" x14ac:dyDescent="0.35">
      <c r="J267" s="99"/>
    </row>
    <row r="268" spans="10:10" x14ac:dyDescent="0.35">
      <c r="J268" s="99"/>
    </row>
    <row r="269" spans="10:10" x14ac:dyDescent="0.35">
      <c r="J269" s="99"/>
    </row>
    <row r="270" spans="10:10" x14ac:dyDescent="0.35">
      <c r="J270" s="99"/>
    </row>
    <row r="271" spans="10:10" x14ac:dyDescent="0.35">
      <c r="J271" s="99"/>
    </row>
    <row r="272" spans="10:10" x14ac:dyDescent="0.35">
      <c r="J272" s="99"/>
    </row>
    <row r="273" spans="10:10" x14ac:dyDescent="0.35">
      <c r="J273" s="99"/>
    </row>
    <row r="274" spans="10:10" x14ac:dyDescent="0.35">
      <c r="J274" s="99"/>
    </row>
    <row r="275" spans="10:10" x14ac:dyDescent="0.35">
      <c r="J275" s="99"/>
    </row>
    <row r="276" spans="10:10" x14ac:dyDescent="0.35">
      <c r="J276" s="99"/>
    </row>
    <row r="277" spans="10:10" x14ac:dyDescent="0.35">
      <c r="J277" s="99"/>
    </row>
    <row r="278" spans="10:10" x14ac:dyDescent="0.35">
      <c r="J278" s="99"/>
    </row>
    <row r="279" spans="10:10" x14ac:dyDescent="0.35">
      <c r="J279" s="99"/>
    </row>
    <row r="280" spans="10:10" x14ac:dyDescent="0.35">
      <c r="J280" s="99"/>
    </row>
    <row r="281" spans="10:10" x14ac:dyDescent="0.35">
      <c r="J281" s="99"/>
    </row>
    <row r="282" spans="10:10" x14ac:dyDescent="0.35">
      <c r="J282" s="99"/>
    </row>
    <row r="283" spans="10:10" x14ac:dyDescent="0.35">
      <c r="J283" s="99"/>
    </row>
    <row r="284" spans="10:10" x14ac:dyDescent="0.35">
      <c r="J284" s="99"/>
    </row>
    <row r="285" spans="10:10" x14ac:dyDescent="0.35">
      <c r="J285" s="99"/>
    </row>
    <row r="286" spans="10:10" x14ac:dyDescent="0.35">
      <c r="J286" s="99"/>
    </row>
    <row r="287" spans="10:10" x14ac:dyDescent="0.35">
      <c r="J287" s="99"/>
    </row>
    <row r="288" spans="10:10" x14ac:dyDescent="0.35">
      <c r="J288" s="99"/>
    </row>
    <row r="289" spans="10:10" x14ac:dyDescent="0.35">
      <c r="J289" s="99"/>
    </row>
    <row r="290" spans="10:10" x14ac:dyDescent="0.35">
      <c r="J290" s="99"/>
    </row>
    <row r="291" spans="10:10" x14ac:dyDescent="0.35">
      <c r="J291" s="99"/>
    </row>
    <row r="292" spans="10:10" x14ac:dyDescent="0.35">
      <c r="J292" s="99"/>
    </row>
    <row r="293" spans="10:10" x14ac:dyDescent="0.35">
      <c r="J293" s="99"/>
    </row>
    <row r="294" spans="10:10" x14ac:dyDescent="0.35">
      <c r="J294" s="99"/>
    </row>
    <row r="295" spans="10:10" x14ac:dyDescent="0.35">
      <c r="J295" s="99"/>
    </row>
    <row r="296" spans="10:10" x14ac:dyDescent="0.35">
      <c r="J296" s="99"/>
    </row>
    <row r="297" spans="10:10" x14ac:dyDescent="0.35">
      <c r="J297" s="99"/>
    </row>
    <row r="298" spans="10:10" x14ac:dyDescent="0.35">
      <c r="J298" s="99"/>
    </row>
    <row r="299" spans="10:10" x14ac:dyDescent="0.35">
      <c r="J299" s="99"/>
    </row>
    <row r="300" spans="10:10" x14ac:dyDescent="0.35">
      <c r="J300" s="99"/>
    </row>
    <row r="301" spans="10:10" x14ac:dyDescent="0.35">
      <c r="J301" s="99"/>
    </row>
    <row r="302" spans="10:10" x14ac:dyDescent="0.35">
      <c r="J302" s="99"/>
    </row>
    <row r="303" spans="10:10" x14ac:dyDescent="0.35">
      <c r="J303" s="99"/>
    </row>
    <row r="304" spans="10:10" x14ac:dyDescent="0.35">
      <c r="J304" s="99"/>
    </row>
    <row r="305" spans="10:10" x14ac:dyDescent="0.35">
      <c r="J305" s="99"/>
    </row>
  </sheetData>
  <sheetProtection sheet="1" objects="1" scenarios="1"/>
  <mergeCells count="22">
    <mergeCell ref="B60:F60"/>
    <mergeCell ref="A108:A114"/>
    <mergeCell ref="B113:F113"/>
    <mergeCell ref="A24:A61"/>
    <mergeCell ref="A62:A76"/>
    <mergeCell ref="B75:F75"/>
    <mergeCell ref="A77:A91"/>
    <mergeCell ref="B90:F90"/>
    <mergeCell ref="A92:A107"/>
    <mergeCell ref="B106:F106"/>
    <mergeCell ref="A9:G9"/>
    <mergeCell ref="A16:A23"/>
    <mergeCell ref="A2:N2"/>
    <mergeCell ref="A5:G5"/>
    <mergeCell ref="A6:G6"/>
    <mergeCell ref="A7:G7"/>
    <mergeCell ref="A8:G8"/>
    <mergeCell ref="A10:G10"/>
    <mergeCell ref="F14:G14"/>
    <mergeCell ref="B22:F22"/>
    <mergeCell ref="C14:D14"/>
    <mergeCell ref="A11:K11"/>
  </mergeCells>
  <pageMargins left="0.23622047244094491" right="0.23622047244094491" top="0.15748031496062992" bottom="0.27559055118110237" header="0.15748031496062992" footer="0.11811023622047245"/>
  <pageSetup paperSize="9" scale="43" firstPageNumber="16" fitToHeight="0" orientation="landscape" useFirstPageNumber="1" horizontalDpi="1200" verticalDpi="1200" r:id="rId1"/>
  <headerFooter>
    <oddFooter>&amp;C&amp;P/43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N307"/>
  <sheetViews>
    <sheetView view="pageLayout" zoomScale="40" zoomScaleNormal="70" zoomScalePageLayoutView="40" workbookViewId="0">
      <selection activeCell="K17" sqref="K17"/>
    </sheetView>
  </sheetViews>
  <sheetFormatPr defaultColWidth="9.1796875" defaultRowHeight="14.5" x14ac:dyDescent="0.35"/>
  <cols>
    <col min="1" max="1" width="5" style="73" customWidth="1"/>
    <col min="2" max="2" width="5.7265625" style="54" customWidth="1"/>
    <col min="3" max="3" width="5.81640625" style="6" customWidth="1"/>
    <col min="4" max="4" width="7" style="6" customWidth="1"/>
    <col min="5" max="5" width="3.7265625" style="6" customWidth="1"/>
    <col min="6" max="6" width="50.7265625" style="6" customWidth="1"/>
    <col min="7" max="7" width="20.26953125" style="6" customWidth="1"/>
    <col min="8" max="8" width="55.7265625" style="73" customWidth="1"/>
    <col min="9" max="11" width="13.7265625" style="73" customWidth="1"/>
    <col min="12" max="13" width="25.7265625" style="73" customWidth="1"/>
    <col min="14" max="14" width="85.7265625" style="73" customWidth="1"/>
    <col min="15" max="15" width="13.7265625" style="73" customWidth="1"/>
    <col min="16" max="16384" width="9.1796875" style="73"/>
  </cols>
  <sheetData>
    <row r="2" spans="1:14" s="151" customFormat="1" ht="35.15" customHeight="1" x14ac:dyDescent="0.35">
      <c r="A2" s="467" t="s">
        <v>750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</row>
    <row r="3" spans="1:14" s="151" customFormat="1" ht="10" customHeight="1" thickBot="1" x14ac:dyDescent="0.4">
      <c r="A3" s="264"/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156"/>
      <c r="M3" s="156"/>
      <c r="N3" s="156"/>
    </row>
    <row r="4" spans="1:14" ht="26.5" thickBot="1" x14ac:dyDescent="0.4">
      <c r="A4" s="245"/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153" t="s">
        <v>7</v>
      </c>
      <c r="M4" s="153" t="s">
        <v>8</v>
      </c>
      <c r="N4" s="152"/>
    </row>
    <row r="5" spans="1:14" ht="18.5" x14ac:dyDescent="0.35">
      <c r="A5" s="457" t="s">
        <v>55</v>
      </c>
      <c r="B5" s="458"/>
      <c r="C5" s="458"/>
      <c r="D5" s="458"/>
      <c r="E5" s="458"/>
      <c r="F5" s="458"/>
      <c r="G5" s="458"/>
      <c r="H5" s="244"/>
      <c r="I5" s="244"/>
      <c r="J5" s="244"/>
      <c r="K5" s="244"/>
      <c r="L5" s="154">
        <f>L21</f>
        <v>0</v>
      </c>
      <c r="M5" s="154">
        <f>M21</f>
        <v>0</v>
      </c>
      <c r="N5" s="152"/>
    </row>
    <row r="6" spans="1:14" ht="18.5" x14ac:dyDescent="0.35">
      <c r="A6" s="457" t="s">
        <v>37</v>
      </c>
      <c r="B6" s="458"/>
      <c r="C6" s="458"/>
      <c r="D6" s="458"/>
      <c r="E6" s="458"/>
      <c r="F6" s="458"/>
      <c r="G6" s="458"/>
      <c r="H6" s="244"/>
      <c r="I6" s="244"/>
      <c r="J6" s="244"/>
      <c r="K6" s="244"/>
      <c r="L6" s="154">
        <f>L40</f>
        <v>0</v>
      </c>
      <c r="M6" s="154">
        <f>M40</f>
        <v>0</v>
      </c>
      <c r="N6" s="152"/>
    </row>
    <row r="7" spans="1:14" ht="18.5" x14ac:dyDescent="0.35">
      <c r="A7" s="457" t="s">
        <v>43</v>
      </c>
      <c r="B7" s="458"/>
      <c r="C7" s="458"/>
      <c r="D7" s="458"/>
      <c r="E7" s="458"/>
      <c r="F7" s="458"/>
      <c r="G7" s="458"/>
      <c r="H7" s="244"/>
      <c r="I7" s="244"/>
      <c r="J7" s="244"/>
      <c r="K7" s="244"/>
      <c r="L7" s="154">
        <f>L47</f>
        <v>0</v>
      </c>
      <c r="M7" s="154">
        <f>M47</f>
        <v>0</v>
      </c>
      <c r="N7" s="152"/>
    </row>
    <row r="8" spans="1:14" ht="18.5" x14ac:dyDescent="0.35">
      <c r="A8" s="457" t="s">
        <v>45</v>
      </c>
      <c r="B8" s="458"/>
      <c r="C8" s="458"/>
      <c r="D8" s="458"/>
      <c r="E8" s="458"/>
      <c r="F8" s="458"/>
      <c r="G8" s="458"/>
      <c r="H8" s="244"/>
      <c r="I8" s="244"/>
      <c r="J8" s="244"/>
      <c r="K8" s="244"/>
      <c r="L8" s="154">
        <f>L54</f>
        <v>0</v>
      </c>
      <c r="M8" s="154">
        <f>M54</f>
        <v>0</v>
      </c>
      <c r="N8" s="152"/>
    </row>
    <row r="9" spans="1:14" ht="18.5" x14ac:dyDescent="0.35">
      <c r="A9" s="457" t="s">
        <v>56</v>
      </c>
      <c r="B9" s="458"/>
      <c r="C9" s="458"/>
      <c r="D9" s="458"/>
      <c r="E9" s="458"/>
      <c r="F9" s="458"/>
      <c r="G9" s="458"/>
      <c r="H9" s="244"/>
      <c r="I9" s="244"/>
      <c r="J9" s="244"/>
      <c r="K9" s="244"/>
      <c r="L9" s="154">
        <f>L75</f>
        <v>0</v>
      </c>
      <c r="M9" s="154">
        <f>M75</f>
        <v>0</v>
      </c>
      <c r="N9" s="152"/>
    </row>
    <row r="10" spans="1:14" ht="19" thickBot="1" x14ac:dyDescent="0.4">
      <c r="A10" s="457" t="s">
        <v>57</v>
      </c>
      <c r="B10" s="458"/>
      <c r="C10" s="458"/>
      <c r="D10" s="458"/>
      <c r="E10" s="458"/>
      <c r="F10" s="458"/>
      <c r="G10" s="458"/>
      <c r="H10" s="244"/>
      <c r="I10" s="244"/>
      <c r="J10" s="244"/>
      <c r="K10" s="244"/>
      <c r="L10" s="154">
        <f>L94</f>
        <v>0</v>
      </c>
      <c r="M10" s="154">
        <f>M94</f>
        <v>0</v>
      </c>
      <c r="N10" s="152"/>
    </row>
    <row r="11" spans="1:14" ht="26.5" thickBot="1" x14ac:dyDescent="0.4">
      <c r="A11" s="465" t="s">
        <v>464</v>
      </c>
      <c r="B11" s="458"/>
      <c r="C11" s="458"/>
      <c r="D11" s="458"/>
      <c r="E11" s="458"/>
      <c r="F11" s="458"/>
      <c r="G11" s="458"/>
      <c r="H11" s="458"/>
      <c r="I11" s="458"/>
      <c r="J11" s="458"/>
      <c r="K11" s="466"/>
      <c r="L11" s="155">
        <f>SUM(L5:L10)</f>
        <v>0</v>
      </c>
      <c r="M11" s="155">
        <f>SUM(M5:M10)</f>
        <v>0</v>
      </c>
      <c r="N11" s="152"/>
    </row>
    <row r="12" spans="1:14" ht="26" x14ac:dyDescent="0.35">
      <c r="A12" s="246"/>
      <c r="B12" s="247"/>
      <c r="C12" s="248"/>
      <c r="D12" s="248"/>
      <c r="E12" s="248"/>
      <c r="F12" s="248"/>
      <c r="G12" s="248"/>
      <c r="H12" s="248"/>
      <c r="I12" s="248"/>
      <c r="J12" s="248"/>
      <c r="K12" s="248"/>
    </row>
    <row r="13" spans="1:14" ht="19" thickBot="1" x14ac:dyDescent="0.4">
      <c r="C13" s="19"/>
      <c r="D13" s="19"/>
    </row>
    <row r="14" spans="1:14" s="1" customFormat="1" ht="30.75" customHeight="1" thickBot="1" x14ac:dyDescent="0.4">
      <c r="A14" s="27" t="s">
        <v>25</v>
      </c>
      <c r="B14" s="27" t="s">
        <v>26</v>
      </c>
      <c r="C14" s="464" t="s">
        <v>27</v>
      </c>
      <c r="D14" s="460"/>
      <c r="E14" s="5"/>
      <c r="F14" s="459" t="s">
        <v>11</v>
      </c>
      <c r="G14" s="460"/>
      <c r="H14" s="4" t="s">
        <v>48</v>
      </c>
      <c r="I14" s="4" t="s">
        <v>0</v>
      </c>
      <c r="J14" s="4" t="s">
        <v>1</v>
      </c>
      <c r="K14" s="4" t="s">
        <v>2</v>
      </c>
      <c r="L14" s="4" t="s">
        <v>7</v>
      </c>
      <c r="M14" s="4" t="s">
        <v>8</v>
      </c>
      <c r="N14" s="4" t="s">
        <v>3</v>
      </c>
    </row>
    <row r="15" spans="1:14" s="204" customFormat="1" ht="15" customHeight="1" thickBot="1" x14ac:dyDescent="0.4">
      <c r="A15" s="285"/>
      <c r="B15" s="286"/>
      <c r="C15" s="287"/>
      <c r="D15" s="287"/>
      <c r="E15" s="271"/>
      <c r="F15" s="288"/>
      <c r="G15" s="288"/>
      <c r="H15" s="288"/>
      <c r="I15" s="288"/>
      <c r="J15" s="288"/>
      <c r="K15" s="288"/>
      <c r="L15" s="288"/>
      <c r="M15" s="288"/>
      <c r="N15" s="288"/>
    </row>
    <row r="16" spans="1:14" ht="18.5" x14ac:dyDescent="0.35">
      <c r="A16" s="476" t="s">
        <v>41</v>
      </c>
      <c r="B16" s="55"/>
      <c r="C16" s="45"/>
      <c r="D16" s="45"/>
      <c r="E16" s="46"/>
      <c r="F16" s="47"/>
      <c r="G16" s="47"/>
      <c r="H16" s="44"/>
      <c r="I16" s="48"/>
      <c r="J16" s="92"/>
      <c r="K16" s="49"/>
      <c r="L16" s="49"/>
      <c r="M16" s="49"/>
      <c r="N16" s="146"/>
    </row>
    <row r="17" spans="1:14" ht="34.5" customHeight="1" x14ac:dyDescent="0.35">
      <c r="A17" s="470"/>
      <c r="B17" s="57">
        <v>118</v>
      </c>
      <c r="C17" s="35" t="s">
        <v>9</v>
      </c>
      <c r="D17" s="35" t="s">
        <v>251</v>
      </c>
      <c r="E17" s="36"/>
      <c r="F17" s="39" t="s">
        <v>37</v>
      </c>
      <c r="G17" s="13"/>
      <c r="H17" s="88" t="s">
        <v>544</v>
      </c>
      <c r="I17" s="68" t="s">
        <v>6</v>
      </c>
      <c r="J17" s="95">
        <v>1</v>
      </c>
      <c r="K17" s="312">
        <v>0</v>
      </c>
      <c r="L17" s="69">
        <f>K17*J17</f>
        <v>0</v>
      </c>
      <c r="M17" s="312">
        <v>0</v>
      </c>
      <c r="N17" s="147"/>
    </row>
    <row r="18" spans="1:14" ht="18.5" x14ac:dyDescent="0.35">
      <c r="A18" s="470"/>
      <c r="B18" s="71"/>
      <c r="C18" s="72"/>
      <c r="D18" s="72"/>
      <c r="E18" s="8"/>
      <c r="F18" s="13"/>
      <c r="G18" s="13"/>
      <c r="H18" s="141"/>
      <c r="I18" s="68"/>
      <c r="J18" s="95"/>
      <c r="K18" s="69"/>
      <c r="L18" s="69"/>
      <c r="M18" s="69"/>
      <c r="N18" s="148"/>
    </row>
    <row r="19" spans="1:14" ht="18.5" x14ac:dyDescent="0.35">
      <c r="A19" s="470"/>
      <c r="B19" s="57">
        <v>119</v>
      </c>
      <c r="C19" s="35" t="s">
        <v>9</v>
      </c>
      <c r="D19" s="35" t="s">
        <v>252</v>
      </c>
      <c r="E19" s="40"/>
      <c r="F19" s="39" t="s">
        <v>144</v>
      </c>
      <c r="G19" s="13"/>
      <c r="H19" s="103" t="s">
        <v>531</v>
      </c>
      <c r="I19" s="68" t="s">
        <v>4</v>
      </c>
      <c r="J19" s="95">
        <f>1.09*1.4</f>
        <v>1.526</v>
      </c>
      <c r="K19" s="312">
        <v>0</v>
      </c>
      <c r="L19" s="69">
        <f>K19*J19</f>
        <v>0</v>
      </c>
      <c r="M19" s="312">
        <v>0</v>
      </c>
      <c r="N19" s="148"/>
    </row>
    <row r="20" spans="1:14" ht="19" thickBot="1" x14ac:dyDescent="0.4">
      <c r="A20" s="470"/>
      <c r="B20" s="56"/>
      <c r="C20" s="20"/>
      <c r="D20" s="20"/>
      <c r="E20" s="8"/>
      <c r="F20" s="26"/>
      <c r="G20" s="13"/>
      <c r="H20" s="103"/>
      <c r="I20" s="68"/>
      <c r="J20" s="95"/>
      <c r="K20" s="69"/>
      <c r="L20" s="69"/>
      <c r="M20" s="69"/>
      <c r="N20" s="148"/>
    </row>
    <row r="21" spans="1:14" ht="19" thickBot="1" x14ac:dyDescent="0.4">
      <c r="A21" s="470"/>
      <c r="B21" s="453" t="s">
        <v>13</v>
      </c>
      <c r="C21" s="454"/>
      <c r="D21" s="454"/>
      <c r="E21" s="454"/>
      <c r="F21" s="454"/>
      <c r="G21" s="140"/>
      <c r="H21" s="140" t="s">
        <v>459</v>
      </c>
      <c r="I21" s="50"/>
      <c r="J21" s="94"/>
      <c r="K21" s="51"/>
      <c r="L21" s="52">
        <f>SUM(L17:L19)</f>
        <v>0</v>
      </c>
      <c r="M21" s="53">
        <f>SUM(M17:M19)</f>
        <v>0</v>
      </c>
      <c r="N21" s="148"/>
    </row>
    <row r="22" spans="1:14" ht="19" thickBot="1" x14ac:dyDescent="0.4">
      <c r="A22" s="471"/>
      <c r="B22" s="58"/>
      <c r="C22" s="21"/>
      <c r="D22" s="21"/>
      <c r="E22" s="14"/>
      <c r="F22" s="15"/>
      <c r="G22" s="15"/>
      <c r="H22" s="16"/>
      <c r="I22" s="17"/>
      <c r="J22" s="96"/>
      <c r="K22" s="277"/>
      <c r="L22" s="278"/>
      <c r="M22" s="276"/>
      <c r="N22" s="148"/>
    </row>
    <row r="23" spans="1:14" ht="18.75" customHeight="1" x14ac:dyDescent="0.35">
      <c r="A23" s="476" t="s">
        <v>40</v>
      </c>
      <c r="B23" s="56"/>
      <c r="C23" s="20"/>
      <c r="D23" s="20"/>
      <c r="E23" s="8"/>
      <c r="F23" s="13"/>
      <c r="G23" s="13"/>
      <c r="H23" s="141"/>
      <c r="I23" s="68"/>
      <c r="J23" s="95"/>
      <c r="K23" s="69"/>
      <c r="L23" s="69"/>
      <c r="M23" s="69"/>
      <c r="N23" s="146"/>
    </row>
    <row r="24" spans="1:14" ht="18.75" customHeight="1" x14ac:dyDescent="0.35">
      <c r="A24" s="470"/>
      <c r="B24" s="57">
        <v>120</v>
      </c>
      <c r="C24" s="35" t="s">
        <v>14</v>
      </c>
      <c r="D24" s="35" t="s">
        <v>251</v>
      </c>
      <c r="E24" s="40"/>
      <c r="F24" s="160" t="s">
        <v>253</v>
      </c>
      <c r="G24" s="161" t="s">
        <v>16</v>
      </c>
      <c r="H24" s="103" t="s">
        <v>500</v>
      </c>
      <c r="I24" s="68" t="s">
        <v>4</v>
      </c>
      <c r="J24" s="95">
        <f>2.95*2.26</f>
        <v>6.6669999999999998</v>
      </c>
      <c r="K24" s="312">
        <v>0</v>
      </c>
      <c r="L24" s="69">
        <f>K24*J24</f>
        <v>0</v>
      </c>
      <c r="M24" s="312">
        <v>0</v>
      </c>
      <c r="N24" s="148"/>
    </row>
    <row r="25" spans="1:14" s="74" customFormat="1" ht="18.75" customHeight="1" x14ac:dyDescent="0.35">
      <c r="A25" s="470"/>
      <c r="B25" s="249"/>
      <c r="C25" s="259"/>
      <c r="D25" s="259"/>
      <c r="E25" s="251"/>
      <c r="F25" s="241"/>
      <c r="G25" s="161"/>
      <c r="H25" s="103" t="s">
        <v>501</v>
      </c>
      <c r="I25" s="68" t="s">
        <v>4</v>
      </c>
      <c r="J25" s="95">
        <f>3.3*2.95</f>
        <v>9.7349999999999994</v>
      </c>
      <c r="K25" s="312">
        <v>0</v>
      </c>
      <c r="L25" s="69">
        <f>K25*J25</f>
        <v>0</v>
      </c>
      <c r="M25" s="312">
        <v>0</v>
      </c>
      <c r="N25" s="148"/>
    </row>
    <row r="26" spans="1:14" ht="18.5" x14ac:dyDescent="0.35">
      <c r="A26" s="470"/>
      <c r="B26" s="249"/>
      <c r="C26" s="250"/>
      <c r="D26" s="250"/>
      <c r="E26" s="251"/>
      <c r="F26" s="217"/>
      <c r="G26" s="161"/>
      <c r="H26" s="103"/>
      <c r="I26" s="68"/>
      <c r="J26" s="95"/>
      <c r="K26" s="69"/>
      <c r="L26" s="69"/>
      <c r="M26" s="69"/>
      <c r="N26" s="148"/>
    </row>
    <row r="27" spans="1:14" x14ac:dyDescent="0.35">
      <c r="A27" s="470"/>
      <c r="B27" s="56"/>
      <c r="C27" s="8"/>
      <c r="D27" s="8"/>
      <c r="E27" s="8"/>
      <c r="F27" s="13"/>
      <c r="G27" s="161" t="s">
        <v>17</v>
      </c>
      <c r="H27" s="103" t="s">
        <v>532</v>
      </c>
      <c r="I27" s="68" t="s">
        <v>5</v>
      </c>
      <c r="J27" s="95">
        <f>2*6*2.26+9*3.3+6*3</f>
        <v>74.819999999999993</v>
      </c>
      <c r="K27" s="312">
        <v>0</v>
      </c>
      <c r="L27" s="69">
        <f>K27*J27</f>
        <v>0</v>
      </c>
      <c r="M27" s="312">
        <v>0</v>
      </c>
      <c r="N27" s="148" t="s">
        <v>533</v>
      </c>
    </row>
    <row r="28" spans="1:14" x14ac:dyDescent="0.35">
      <c r="A28" s="470"/>
      <c r="B28" s="56"/>
      <c r="C28" s="8"/>
      <c r="D28" s="8"/>
      <c r="E28" s="8"/>
      <c r="F28" s="13"/>
      <c r="G28" s="161"/>
      <c r="H28" s="103" t="s">
        <v>377</v>
      </c>
      <c r="I28" s="68" t="s">
        <v>5</v>
      </c>
      <c r="J28" s="95">
        <f>(5*0.725+2*1.18)*5</f>
        <v>29.924999999999997</v>
      </c>
      <c r="K28" s="312">
        <v>0</v>
      </c>
      <c r="L28" s="69">
        <f>K28*J28</f>
        <v>0</v>
      </c>
      <c r="M28" s="312">
        <v>0</v>
      </c>
      <c r="N28" s="148"/>
    </row>
    <row r="29" spans="1:14" x14ac:dyDescent="0.35">
      <c r="A29" s="470"/>
      <c r="B29" s="56"/>
      <c r="C29" s="8"/>
      <c r="D29" s="8"/>
      <c r="E29" s="8"/>
      <c r="F29" s="13"/>
      <c r="G29" s="161"/>
      <c r="H29" s="103"/>
      <c r="I29" s="68"/>
      <c r="J29" s="95"/>
      <c r="K29" s="69"/>
      <c r="L29" s="69"/>
      <c r="M29" s="69"/>
      <c r="N29" s="148"/>
    </row>
    <row r="30" spans="1:14" x14ac:dyDescent="0.35">
      <c r="A30" s="462"/>
      <c r="B30" s="56"/>
      <c r="C30" s="8"/>
      <c r="D30" s="8"/>
      <c r="E30" s="8"/>
      <c r="F30" s="13"/>
      <c r="G30" s="161" t="s">
        <v>18</v>
      </c>
      <c r="H30" s="103" t="s">
        <v>149</v>
      </c>
      <c r="I30" s="68" t="s">
        <v>4</v>
      </c>
      <c r="J30" s="95">
        <f>J24</f>
        <v>6.6669999999999998</v>
      </c>
      <c r="K30" s="312">
        <v>0</v>
      </c>
      <c r="L30" s="69">
        <f>K30*J30</f>
        <v>0</v>
      </c>
      <c r="M30" s="312">
        <v>0</v>
      </c>
      <c r="N30" s="148" t="s">
        <v>519</v>
      </c>
    </row>
    <row r="31" spans="1:14" x14ac:dyDescent="0.35">
      <c r="A31" s="462"/>
      <c r="B31" s="56"/>
      <c r="C31" s="8"/>
      <c r="D31" s="8"/>
      <c r="E31" s="8"/>
      <c r="F31" s="13"/>
      <c r="G31" s="161"/>
      <c r="H31" s="103" t="s">
        <v>254</v>
      </c>
      <c r="I31" s="68" t="s">
        <v>4</v>
      </c>
      <c r="J31" s="95">
        <f>J25</f>
        <v>9.7349999999999994</v>
      </c>
      <c r="K31" s="312">
        <v>0</v>
      </c>
      <c r="L31" s="69">
        <f>K31*J31</f>
        <v>0</v>
      </c>
      <c r="M31" s="312">
        <v>0</v>
      </c>
      <c r="N31" s="148" t="s">
        <v>519</v>
      </c>
    </row>
    <row r="32" spans="1:14" x14ac:dyDescent="0.35">
      <c r="A32" s="462"/>
      <c r="B32" s="56"/>
      <c r="C32" s="8"/>
      <c r="D32" s="8"/>
      <c r="E32" s="8"/>
      <c r="F32" s="13"/>
      <c r="G32" s="161"/>
      <c r="H32" s="213" t="s">
        <v>776</v>
      </c>
      <c r="I32" s="68" t="s">
        <v>4</v>
      </c>
      <c r="J32" s="95">
        <f>J25</f>
        <v>9.7349999999999994</v>
      </c>
      <c r="K32" s="312">
        <v>0</v>
      </c>
      <c r="L32" s="69">
        <f>K32*J32</f>
        <v>0</v>
      </c>
      <c r="M32" s="312">
        <v>0</v>
      </c>
      <c r="N32" s="148" t="s">
        <v>519</v>
      </c>
    </row>
    <row r="33" spans="1:14" x14ac:dyDescent="0.35">
      <c r="A33" s="462"/>
      <c r="B33" s="56"/>
      <c r="C33" s="8"/>
      <c r="D33" s="8"/>
      <c r="E33" s="8"/>
      <c r="F33" s="13"/>
      <c r="G33" s="161"/>
      <c r="H33" s="103"/>
      <c r="I33" s="68"/>
      <c r="J33" s="95"/>
      <c r="K33" s="69"/>
      <c r="L33" s="69"/>
      <c r="M33" s="69"/>
      <c r="N33" s="148"/>
    </row>
    <row r="34" spans="1:14" x14ac:dyDescent="0.35">
      <c r="A34" s="462"/>
      <c r="B34" s="56"/>
      <c r="C34" s="8"/>
      <c r="D34" s="8"/>
      <c r="E34" s="8"/>
      <c r="F34" s="13"/>
      <c r="G34" s="161" t="s">
        <v>19</v>
      </c>
      <c r="H34" s="88" t="s">
        <v>552</v>
      </c>
      <c r="I34" s="68" t="s">
        <v>4</v>
      </c>
      <c r="J34" s="95">
        <f>8*(1.5*1.2)</f>
        <v>14.399999999999999</v>
      </c>
      <c r="K34" s="312">
        <v>0</v>
      </c>
      <c r="L34" s="69">
        <f>K34*J34</f>
        <v>0</v>
      </c>
      <c r="M34" s="312">
        <v>0</v>
      </c>
      <c r="N34" s="223" t="s">
        <v>687</v>
      </c>
    </row>
    <row r="35" spans="1:14" s="74" customFormat="1" x14ac:dyDescent="0.35">
      <c r="A35" s="462"/>
      <c r="B35" s="56"/>
      <c r="C35" s="8"/>
      <c r="D35" s="8"/>
      <c r="E35" s="8"/>
      <c r="F35" s="13"/>
      <c r="G35" s="161"/>
      <c r="H35" s="88"/>
      <c r="I35" s="68"/>
      <c r="J35" s="95"/>
      <c r="K35" s="69"/>
      <c r="L35" s="220"/>
      <c r="M35" s="220"/>
      <c r="N35" s="148"/>
    </row>
    <row r="36" spans="1:14" s="74" customFormat="1" x14ac:dyDescent="0.35">
      <c r="A36" s="462"/>
      <c r="B36" s="56"/>
      <c r="C36" s="8"/>
      <c r="D36" s="8"/>
      <c r="E36" s="8"/>
      <c r="F36" s="13"/>
      <c r="G36" s="13" t="s">
        <v>28</v>
      </c>
      <c r="H36" s="103" t="s">
        <v>362</v>
      </c>
      <c r="I36" s="68" t="s">
        <v>4</v>
      </c>
      <c r="J36" s="95">
        <f>3.14*0.6*0.6</f>
        <v>1.1303999999999998</v>
      </c>
      <c r="K36" s="312">
        <v>0</v>
      </c>
      <c r="L36" s="220">
        <f>K36*J36</f>
        <v>0</v>
      </c>
      <c r="M36" s="312">
        <v>0</v>
      </c>
      <c r="N36" s="148" t="s">
        <v>361</v>
      </c>
    </row>
    <row r="37" spans="1:14" ht="15.5" x14ac:dyDescent="0.35">
      <c r="A37" s="462"/>
      <c r="B37" s="56"/>
      <c r="C37" s="8"/>
      <c r="D37" s="8"/>
      <c r="E37" s="8"/>
      <c r="F37" s="25"/>
      <c r="G37" s="13"/>
      <c r="H37" s="103"/>
      <c r="I37" s="68"/>
      <c r="J37" s="95"/>
      <c r="K37" s="69"/>
      <c r="L37" s="170"/>
      <c r="M37" s="170"/>
      <c r="N37" s="148"/>
    </row>
    <row r="38" spans="1:14" ht="15.5" x14ac:dyDescent="0.35">
      <c r="A38" s="462"/>
      <c r="B38" s="76"/>
      <c r="C38" s="77"/>
      <c r="D38" s="77"/>
      <c r="E38" s="77"/>
      <c r="F38" s="30"/>
      <c r="G38" s="31"/>
      <c r="H38" s="32" t="s">
        <v>459</v>
      </c>
      <c r="I38" s="33"/>
      <c r="J38" s="98"/>
      <c r="K38" s="34"/>
      <c r="L38" s="137">
        <f>SUM(L24:L36)</f>
        <v>0</v>
      </c>
      <c r="M38" s="137">
        <f>SUM(M24:M36)</f>
        <v>0</v>
      </c>
      <c r="N38" s="148"/>
    </row>
    <row r="39" spans="1:14" ht="15" thickBot="1" x14ac:dyDescent="0.4">
      <c r="A39" s="462"/>
      <c r="B39" s="56"/>
      <c r="C39" s="8"/>
      <c r="D39" s="8"/>
      <c r="E39" s="8"/>
      <c r="F39" s="8"/>
      <c r="G39" s="8"/>
      <c r="H39" s="141"/>
      <c r="I39" s="141"/>
      <c r="J39" s="162"/>
      <c r="K39" s="141"/>
      <c r="L39" s="141"/>
      <c r="M39" s="141"/>
      <c r="N39" s="148"/>
    </row>
    <row r="40" spans="1:14" ht="19" thickBot="1" x14ac:dyDescent="0.4">
      <c r="A40" s="462"/>
      <c r="B40" s="453" t="s">
        <v>37</v>
      </c>
      <c r="C40" s="454"/>
      <c r="D40" s="454"/>
      <c r="E40" s="454"/>
      <c r="F40" s="454"/>
      <c r="G40" s="140"/>
      <c r="H40" s="140" t="s">
        <v>459</v>
      </c>
      <c r="I40" s="50"/>
      <c r="J40" s="94"/>
      <c r="K40" s="51"/>
      <c r="L40" s="52">
        <f>L38</f>
        <v>0</v>
      </c>
      <c r="M40" s="53">
        <f>M38</f>
        <v>0</v>
      </c>
      <c r="N40" s="148"/>
    </row>
    <row r="41" spans="1:14" ht="19" thickBot="1" x14ac:dyDescent="0.4">
      <c r="A41" s="463"/>
      <c r="B41" s="58"/>
      <c r="C41" s="21"/>
      <c r="D41" s="21"/>
      <c r="E41" s="14"/>
      <c r="F41" s="15"/>
      <c r="G41" s="15"/>
      <c r="H41" s="16"/>
      <c r="I41" s="17"/>
      <c r="J41" s="96"/>
      <c r="K41" s="277"/>
      <c r="L41" s="278"/>
      <c r="M41" s="276"/>
      <c r="N41" s="148"/>
    </row>
    <row r="42" spans="1:14" ht="18.5" x14ac:dyDescent="0.35">
      <c r="A42" s="469" t="s">
        <v>39</v>
      </c>
      <c r="B42" s="56"/>
      <c r="C42" s="20"/>
      <c r="D42" s="20"/>
      <c r="E42" s="8"/>
      <c r="F42" s="13"/>
      <c r="G42" s="13"/>
      <c r="H42" s="141"/>
      <c r="I42" s="68"/>
      <c r="J42" s="95"/>
      <c r="K42" s="69"/>
      <c r="L42" s="69"/>
      <c r="M42" s="69"/>
      <c r="N42" s="146"/>
    </row>
    <row r="43" spans="1:14" ht="18.5" x14ac:dyDescent="0.35">
      <c r="A43" s="470"/>
      <c r="B43" s="57">
        <v>121</v>
      </c>
      <c r="C43" s="35" t="s">
        <v>38</v>
      </c>
      <c r="D43" s="35" t="s">
        <v>251</v>
      </c>
      <c r="E43" s="40"/>
      <c r="F43" s="160" t="s">
        <v>255</v>
      </c>
      <c r="G43" s="161"/>
      <c r="H43" s="103" t="s">
        <v>528</v>
      </c>
      <c r="I43" s="68" t="s">
        <v>4</v>
      </c>
      <c r="J43" s="95">
        <f>8*(1.5*1.2)</f>
        <v>14.399999999999999</v>
      </c>
      <c r="K43" s="312">
        <v>0</v>
      </c>
      <c r="L43" s="69">
        <f>K43*J43</f>
        <v>0</v>
      </c>
      <c r="M43" s="312">
        <v>0</v>
      </c>
      <c r="N43" s="148"/>
    </row>
    <row r="44" spans="1:14" x14ac:dyDescent="0.35">
      <c r="A44" s="470"/>
      <c r="B44" s="56"/>
      <c r="C44" s="8"/>
      <c r="D44" s="8"/>
      <c r="E44" s="8"/>
      <c r="F44" s="13"/>
      <c r="G44" s="13"/>
      <c r="H44" s="103"/>
      <c r="I44" s="68"/>
      <c r="J44" s="95"/>
      <c r="K44" s="69"/>
      <c r="L44" s="69"/>
      <c r="M44" s="69"/>
      <c r="N44" s="148"/>
    </row>
    <row r="45" spans="1:14" ht="15.5" x14ac:dyDescent="0.35">
      <c r="A45" s="470"/>
      <c r="B45" s="76"/>
      <c r="C45" s="77"/>
      <c r="D45" s="77"/>
      <c r="E45" s="77"/>
      <c r="F45" s="30"/>
      <c r="G45" s="31"/>
      <c r="H45" s="32" t="s">
        <v>459</v>
      </c>
      <c r="I45" s="33"/>
      <c r="J45" s="98"/>
      <c r="K45" s="34"/>
      <c r="L45" s="137">
        <f>SUM(L43:L43)</f>
        <v>0</v>
      </c>
      <c r="M45" s="137">
        <f>SUM(M43:M43)</f>
        <v>0</v>
      </c>
      <c r="N45" s="148"/>
    </row>
    <row r="46" spans="1:14" ht="15" thickBot="1" x14ac:dyDescent="0.4">
      <c r="A46" s="470"/>
      <c r="B46" s="56"/>
      <c r="C46" s="8"/>
      <c r="D46" s="8"/>
      <c r="E46" s="8"/>
      <c r="F46" s="8"/>
      <c r="G46" s="8"/>
      <c r="H46" s="141"/>
      <c r="I46" s="141"/>
      <c r="J46" s="162"/>
      <c r="K46" s="141"/>
      <c r="L46" s="141"/>
      <c r="M46" s="141"/>
      <c r="N46" s="148"/>
    </row>
    <row r="47" spans="1:14" ht="19" thickBot="1" x14ac:dyDescent="0.4">
      <c r="A47" s="470"/>
      <c r="B47" s="453" t="s">
        <v>43</v>
      </c>
      <c r="C47" s="454"/>
      <c r="D47" s="454"/>
      <c r="E47" s="454"/>
      <c r="F47" s="454"/>
      <c r="G47" s="140"/>
      <c r="H47" s="140" t="s">
        <v>459</v>
      </c>
      <c r="I47" s="50"/>
      <c r="J47" s="94"/>
      <c r="K47" s="51"/>
      <c r="L47" s="52">
        <f>L45</f>
        <v>0</v>
      </c>
      <c r="M47" s="53">
        <f>M45</f>
        <v>0</v>
      </c>
      <c r="N47" s="148"/>
    </row>
    <row r="48" spans="1:14" ht="19" thickBot="1" x14ac:dyDescent="0.4">
      <c r="A48" s="471"/>
      <c r="B48" s="58"/>
      <c r="C48" s="21"/>
      <c r="D48" s="21"/>
      <c r="E48" s="14"/>
      <c r="F48" s="15"/>
      <c r="G48" s="15"/>
      <c r="H48" s="16"/>
      <c r="I48" s="17"/>
      <c r="J48" s="96"/>
      <c r="K48" s="277"/>
      <c r="L48" s="278"/>
      <c r="M48" s="276"/>
      <c r="N48" s="148"/>
    </row>
    <row r="49" spans="1:14" ht="18.5" x14ac:dyDescent="0.35">
      <c r="A49" s="469" t="s">
        <v>46</v>
      </c>
      <c r="B49" s="56"/>
      <c r="C49" s="20"/>
      <c r="D49" s="20"/>
      <c r="E49" s="8"/>
      <c r="F49" s="13"/>
      <c r="G49" s="13"/>
      <c r="H49" s="141"/>
      <c r="I49" s="68"/>
      <c r="J49" s="95"/>
      <c r="K49" s="69"/>
      <c r="L49" s="69"/>
      <c r="M49" s="69"/>
      <c r="N49" s="146"/>
    </row>
    <row r="50" spans="1:14" ht="18.5" x14ac:dyDescent="0.35">
      <c r="A50" s="470"/>
      <c r="B50" s="57">
        <v>122</v>
      </c>
      <c r="C50" s="35" t="s">
        <v>47</v>
      </c>
      <c r="D50" s="35" t="s">
        <v>256</v>
      </c>
      <c r="E50" s="40"/>
      <c r="F50" s="160" t="s">
        <v>179</v>
      </c>
      <c r="G50" s="161"/>
      <c r="H50" s="103"/>
      <c r="I50" s="68"/>
      <c r="J50" s="95"/>
      <c r="K50" s="69"/>
      <c r="L50" s="69"/>
      <c r="M50" s="69"/>
      <c r="N50" s="148"/>
    </row>
    <row r="51" spans="1:14" x14ac:dyDescent="0.35">
      <c r="A51" s="470"/>
      <c r="B51" s="56"/>
      <c r="C51" s="8"/>
      <c r="D51" s="8"/>
      <c r="E51" s="8"/>
      <c r="F51" s="13"/>
      <c r="G51" s="13"/>
      <c r="H51" s="103"/>
      <c r="I51" s="68"/>
      <c r="J51" s="95"/>
      <c r="K51" s="69"/>
      <c r="L51" s="69"/>
      <c r="M51" s="69"/>
      <c r="N51" s="148"/>
    </row>
    <row r="52" spans="1:14" ht="15.5" x14ac:dyDescent="0.35">
      <c r="A52" s="470"/>
      <c r="B52" s="76"/>
      <c r="C52" s="77"/>
      <c r="D52" s="77"/>
      <c r="E52" s="77"/>
      <c r="F52" s="30"/>
      <c r="G52" s="31"/>
      <c r="H52" s="32" t="s">
        <v>459</v>
      </c>
      <c r="I52" s="33"/>
      <c r="J52" s="98"/>
      <c r="K52" s="34"/>
      <c r="L52" s="137">
        <f>SUM(L50:L50)</f>
        <v>0</v>
      </c>
      <c r="M52" s="137">
        <f>SUM(M50:M50)</f>
        <v>0</v>
      </c>
      <c r="N52" s="148"/>
    </row>
    <row r="53" spans="1:14" ht="15" thickBot="1" x14ac:dyDescent="0.4">
      <c r="A53" s="470"/>
      <c r="B53" s="56"/>
      <c r="C53" s="8"/>
      <c r="D53" s="8"/>
      <c r="E53" s="8"/>
      <c r="F53" s="8"/>
      <c r="G53" s="8"/>
      <c r="H53" s="141"/>
      <c r="I53" s="141"/>
      <c r="J53" s="162"/>
      <c r="K53" s="141"/>
      <c r="L53" s="141"/>
      <c r="M53" s="141"/>
      <c r="N53" s="148"/>
    </row>
    <row r="54" spans="1:14" ht="19" thickBot="1" x14ac:dyDescent="0.4">
      <c r="A54" s="470"/>
      <c r="B54" s="453" t="s">
        <v>45</v>
      </c>
      <c r="C54" s="454"/>
      <c r="D54" s="454"/>
      <c r="E54" s="454"/>
      <c r="F54" s="454"/>
      <c r="G54" s="140"/>
      <c r="H54" s="140" t="s">
        <v>459</v>
      </c>
      <c r="I54" s="50"/>
      <c r="J54" s="94"/>
      <c r="K54" s="51"/>
      <c r="L54" s="52">
        <f>L52</f>
        <v>0</v>
      </c>
      <c r="M54" s="53">
        <f>M52</f>
        <v>0</v>
      </c>
      <c r="N54" s="148"/>
    </row>
    <row r="55" spans="1:14" ht="19" thickBot="1" x14ac:dyDescent="0.4">
      <c r="A55" s="471"/>
      <c r="B55" s="58"/>
      <c r="C55" s="21"/>
      <c r="D55" s="21"/>
      <c r="E55" s="14"/>
      <c r="F55" s="15"/>
      <c r="G55" s="15"/>
      <c r="H55" s="16"/>
      <c r="I55" s="17"/>
      <c r="J55" s="96"/>
      <c r="K55" s="277"/>
      <c r="L55" s="278"/>
      <c r="M55" s="276"/>
      <c r="N55" s="148"/>
    </row>
    <row r="56" spans="1:14" s="75" customFormat="1" ht="18.5" x14ac:dyDescent="0.35">
      <c r="A56" s="472" t="s">
        <v>59</v>
      </c>
      <c r="B56" s="249"/>
      <c r="C56" s="250"/>
      <c r="D56" s="250"/>
      <c r="E56" s="251"/>
      <c r="F56" s="217"/>
      <c r="G56" s="217"/>
      <c r="H56" s="229"/>
      <c r="I56" s="211"/>
      <c r="J56" s="212"/>
      <c r="K56" s="220"/>
      <c r="L56" s="220"/>
      <c r="M56" s="220"/>
      <c r="N56" s="252"/>
    </row>
    <row r="57" spans="1:14" s="75" customFormat="1" ht="49.5" customHeight="1" x14ac:dyDescent="0.35">
      <c r="A57" s="473"/>
      <c r="B57" s="57">
        <v>123</v>
      </c>
      <c r="C57" s="35" t="s">
        <v>60</v>
      </c>
      <c r="D57" s="35" t="s">
        <v>251</v>
      </c>
      <c r="E57" s="40"/>
      <c r="F57" s="160" t="s">
        <v>629</v>
      </c>
      <c r="G57" s="216" t="s">
        <v>73</v>
      </c>
      <c r="H57" s="239" t="s">
        <v>516</v>
      </c>
      <c r="I57" s="68" t="s">
        <v>6</v>
      </c>
      <c r="J57" s="95">
        <v>2</v>
      </c>
      <c r="K57" s="312">
        <v>0</v>
      </c>
      <c r="L57" s="220">
        <f>K57*J57</f>
        <v>0</v>
      </c>
      <c r="M57" s="312">
        <v>0</v>
      </c>
      <c r="N57" s="148" t="s">
        <v>541</v>
      </c>
    </row>
    <row r="58" spans="1:14" s="75" customFormat="1" ht="29" x14ac:dyDescent="0.35">
      <c r="A58" s="473"/>
      <c r="B58" s="249"/>
      <c r="C58" s="250"/>
      <c r="D58" s="250"/>
      <c r="E58" s="251"/>
      <c r="F58" s="217"/>
      <c r="G58" s="216"/>
      <c r="H58" s="239" t="s">
        <v>553</v>
      </c>
      <c r="I58" s="211" t="s">
        <v>6</v>
      </c>
      <c r="J58" s="212">
        <v>1</v>
      </c>
      <c r="K58" s="312">
        <v>0</v>
      </c>
      <c r="L58" s="220">
        <f>K58*J58</f>
        <v>0</v>
      </c>
      <c r="M58" s="312">
        <v>0</v>
      </c>
      <c r="N58" s="148" t="s">
        <v>556</v>
      </c>
    </row>
    <row r="59" spans="1:14" s="75" customFormat="1" ht="58" x14ac:dyDescent="0.35">
      <c r="A59" s="473"/>
      <c r="B59" s="249"/>
      <c r="C59" s="250"/>
      <c r="D59" s="250"/>
      <c r="E59" s="251"/>
      <c r="F59" s="217"/>
      <c r="G59" s="216"/>
      <c r="H59" s="239" t="s">
        <v>281</v>
      </c>
      <c r="I59" s="211" t="s">
        <v>6</v>
      </c>
      <c r="J59" s="212">
        <v>3</v>
      </c>
      <c r="K59" s="312">
        <v>0</v>
      </c>
      <c r="L59" s="220">
        <f>K59*J59</f>
        <v>0</v>
      </c>
      <c r="M59" s="312">
        <v>0</v>
      </c>
      <c r="N59" s="148" t="s">
        <v>572</v>
      </c>
    </row>
    <row r="60" spans="1:14" s="75" customFormat="1" ht="18.5" x14ac:dyDescent="0.35">
      <c r="A60" s="473"/>
      <c r="B60" s="249"/>
      <c r="C60" s="250"/>
      <c r="D60" s="250"/>
      <c r="E60" s="251"/>
      <c r="F60" s="217"/>
      <c r="G60" s="216"/>
      <c r="H60" s="239" t="s">
        <v>64</v>
      </c>
      <c r="I60" s="211" t="s">
        <v>6</v>
      </c>
      <c r="J60" s="212">
        <v>3</v>
      </c>
      <c r="K60" s="312">
        <v>0</v>
      </c>
      <c r="L60" s="220">
        <f>K60*J60</f>
        <v>0</v>
      </c>
      <c r="M60" s="312">
        <v>0</v>
      </c>
      <c r="N60" s="148" t="s">
        <v>571</v>
      </c>
    </row>
    <row r="61" spans="1:14" s="75" customFormat="1" x14ac:dyDescent="0.35">
      <c r="A61" s="473"/>
      <c r="B61" s="249"/>
      <c r="C61" s="251"/>
      <c r="D61" s="251"/>
      <c r="E61" s="251"/>
      <c r="F61" s="217"/>
      <c r="G61" s="217"/>
      <c r="H61" s="239" t="s">
        <v>554</v>
      </c>
      <c r="I61" s="211" t="s">
        <v>6</v>
      </c>
      <c r="J61" s="212">
        <v>1</v>
      </c>
      <c r="K61" s="312">
        <v>0</v>
      </c>
      <c r="L61" s="220">
        <f>K61*J61</f>
        <v>0</v>
      </c>
      <c r="M61" s="312">
        <v>0</v>
      </c>
      <c r="N61" s="219" t="s">
        <v>557</v>
      </c>
    </row>
    <row r="62" spans="1:14" s="75" customFormat="1" x14ac:dyDescent="0.35">
      <c r="A62" s="473"/>
      <c r="B62" s="249"/>
      <c r="C62" s="251"/>
      <c r="D62" s="251"/>
      <c r="E62" s="251"/>
      <c r="F62" s="217"/>
      <c r="G62" s="217"/>
      <c r="H62" s="239"/>
      <c r="I62" s="211"/>
      <c r="J62" s="212"/>
      <c r="K62" s="220"/>
      <c r="L62" s="220"/>
      <c r="M62" s="220"/>
      <c r="N62" s="219"/>
    </row>
    <row r="63" spans="1:14" s="75" customFormat="1" x14ac:dyDescent="0.35">
      <c r="A63" s="473"/>
      <c r="B63" s="249"/>
      <c r="C63" s="251"/>
      <c r="D63" s="251"/>
      <c r="E63" s="251"/>
      <c r="F63" s="217"/>
      <c r="G63" s="217" t="s">
        <v>74</v>
      </c>
      <c r="H63" s="239" t="s">
        <v>383</v>
      </c>
      <c r="I63" s="211" t="s">
        <v>279</v>
      </c>
      <c r="J63" s="212">
        <v>2</v>
      </c>
      <c r="K63" s="312">
        <v>0</v>
      </c>
      <c r="L63" s="229"/>
      <c r="M63" s="220">
        <f>K63*J63</f>
        <v>0</v>
      </c>
      <c r="N63" s="219"/>
    </row>
    <row r="64" spans="1:14" s="75" customFormat="1" x14ac:dyDescent="0.35">
      <c r="A64" s="473"/>
      <c r="B64" s="249"/>
      <c r="C64" s="251"/>
      <c r="D64" s="251"/>
      <c r="E64" s="251"/>
      <c r="F64" s="217"/>
      <c r="G64" s="217"/>
      <c r="H64" s="239" t="s">
        <v>384</v>
      </c>
      <c r="I64" s="211" t="s">
        <v>279</v>
      </c>
      <c r="J64" s="212">
        <v>1</v>
      </c>
      <c r="K64" s="312">
        <v>0</v>
      </c>
      <c r="L64" s="229"/>
      <c r="M64" s="220">
        <f>K64*J64</f>
        <v>0</v>
      </c>
      <c r="N64" s="219"/>
    </row>
    <row r="65" spans="1:14" s="75" customFormat="1" x14ac:dyDescent="0.35">
      <c r="A65" s="473"/>
      <c r="B65" s="249"/>
      <c r="C65" s="251"/>
      <c r="D65" s="251"/>
      <c r="E65" s="251"/>
      <c r="F65" s="217"/>
      <c r="G65" s="217"/>
      <c r="H65" s="239" t="s">
        <v>293</v>
      </c>
      <c r="I65" s="211" t="s">
        <v>279</v>
      </c>
      <c r="J65" s="212">
        <v>4</v>
      </c>
      <c r="K65" s="312">
        <v>0</v>
      </c>
      <c r="L65" s="229"/>
      <c r="M65" s="220">
        <f>K65*J65</f>
        <v>0</v>
      </c>
      <c r="N65" s="219"/>
    </row>
    <row r="66" spans="1:14" s="75" customFormat="1" x14ac:dyDescent="0.35">
      <c r="A66" s="473"/>
      <c r="B66" s="249"/>
      <c r="C66" s="251"/>
      <c r="D66" s="251"/>
      <c r="E66" s="251"/>
      <c r="F66" s="217"/>
      <c r="G66" s="217"/>
      <c r="H66" s="239" t="s">
        <v>82</v>
      </c>
      <c r="I66" s="211" t="s">
        <v>279</v>
      </c>
      <c r="J66" s="212">
        <v>1</v>
      </c>
      <c r="K66" s="312">
        <v>0</v>
      </c>
      <c r="L66" s="229"/>
      <c r="M66" s="220">
        <f>K66*J66</f>
        <v>0</v>
      </c>
      <c r="N66" s="219"/>
    </row>
    <row r="67" spans="1:14" s="75" customFormat="1" ht="29" x14ac:dyDescent="0.35">
      <c r="A67" s="473"/>
      <c r="B67" s="249"/>
      <c r="C67" s="251"/>
      <c r="D67" s="251"/>
      <c r="E67" s="251"/>
      <c r="F67" s="217"/>
      <c r="G67" s="217"/>
      <c r="H67" s="224" t="s">
        <v>731</v>
      </c>
      <c r="I67" s="211" t="s">
        <v>279</v>
      </c>
      <c r="J67" s="212">
        <v>1</v>
      </c>
      <c r="K67" s="312">
        <v>0</v>
      </c>
      <c r="L67" s="229"/>
      <c r="M67" s="220">
        <f>K67*J67</f>
        <v>0</v>
      </c>
      <c r="N67" s="219"/>
    </row>
    <row r="68" spans="1:14" s="75" customFormat="1" x14ac:dyDescent="0.35">
      <c r="A68" s="473"/>
      <c r="B68" s="249"/>
      <c r="C68" s="251"/>
      <c r="D68" s="251"/>
      <c r="E68" s="251"/>
      <c r="F68" s="217"/>
      <c r="G68" s="217"/>
      <c r="H68" s="239"/>
      <c r="I68" s="211"/>
      <c r="J68" s="212"/>
      <c r="K68" s="220"/>
      <c r="L68" s="220"/>
      <c r="M68" s="220"/>
      <c r="N68" s="219"/>
    </row>
    <row r="69" spans="1:14" s="75" customFormat="1" ht="15.5" x14ac:dyDescent="0.35">
      <c r="A69" s="473"/>
      <c r="B69" s="260"/>
      <c r="C69" s="261"/>
      <c r="D69" s="261"/>
      <c r="E69" s="261"/>
      <c r="F69" s="262"/>
      <c r="G69" s="255"/>
      <c r="H69" s="234" t="s">
        <v>459</v>
      </c>
      <c r="I69" s="256"/>
      <c r="J69" s="257"/>
      <c r="K69" s="258"/>
      <c r="L69" s="137">
        <f>SUM(L57:L67)</f>
        <v>0</v>
      </c>
      <c r="M69" s="137">
        <f>SUM(M57:M67)</f>
        <v>0</v>
      </c>
      <c r="N69" s="219"/>
    </row>
    <row r="70" spans="1:14" s="135" customFormat="1" x14ac:dyDescent="0.35">
      <c r="A70" s="473"/>
      <c r="B70" s="59"/>
      <c r="C70" s="61"/>
      <c r="D70" s="61"/>
      <c r="E70" s="61"/>
      <c r="F70" s="80"/>
      <c r="G70" s="263"/>
      <c r="H70" s="240"/>
      <c r="I70" s="211"/>
      <c r="J70" s="212"/>
      <c r="K70" s="220"/>
      <c r="L70" s="240"/>
      <c r="M70" s="240"/>
      <c r="N70" s="253"/>
    </row>
    <row r="71" spans="1:14" s="135" customFormat="1" ht="18.5" x14ac:dyDescent="0.35">
      <c r="A71" s="473"/>
      <c r="B71" s="57">
        <v>124</v>
      </c>
      <c r="C71" s="35" t="s">
        <v>60</v>
      </c>
      <c r="D71" s="35" t="s">
        <v>252</v>
      </c>
      <c r="E71" s="40"/>
      <c r="F71" s="160" t="s">
        <v>428</v>
      </c>
      <c r="G71" s="216" t="s">
        <v>73</v>
      </c>
      <c r="H71" s="239" t="s">
        <v>429</v>
      </c>
      <c r="I71" s="211" t="s">
        <v>6</v>
      </c>
      <c r="J71" s="212">
        <v>1</v>
      </c>
      <c r="K71" s="312">
        <v>0</v>
      </c>
      <c r="L71" s="220">
        <f>K71*J71</f>
        <v>0</v>
      </c>
      <c r="M71" s="312">
        <v>0</v>
      </c>
      <c r="N71" s="253"/>
    </row>
    <row r="72" spans="1:14" s="135" customFormat="1" x14ac:dyDescent="0.35">
      <c r="A72" s="473"/>
      <c r="B72" s="249"/>
      <c r="C72" s="251"/>
      <c r="D72" s="251"/>
      <c r="E72" s="251"/>
      <c r="F72" s="217"/>
      <c r="G72" s="217"/>
      <c r="H72" s="239"/>
      <c r="I72" s="211"/>
      <c r="J72" s="212"/>
      <c r="K72" s="220"/>
      <c r="L72" s="220"/>
      <c r="M72" s="220"/>
      <c r="N72" s="219"/>
    </row>
    <row r="73" spans="1:14" s="135" customFormat="1" ht="15.5" x14ac:dyDescent="0.35">
      <c r="A73" s="473"/>
      <c r="B73" s="260"/>
      <c r="C73" s="261"/>
      <c r="D73" s="261"/>
      <c r="E73" s="261"/>
      <c r="F73" s="262"/>
      <c r="G73" s="255"/>
      <c r="H73" s="234" t="s">
        <v>459</v>
      </c>
      <c r="I73" s="256"/>
      <c r="J73" s="257"/>
      <c r="K73" s="258"/>
      <c r="L73" s="137">
        <f>SUM(L71)</f>
        <v>0</v>
      </c>
      <c r="M73" s="137">
        <f>SUM(M71)</f>
        <v>0</v>
      </c>
      <c r="N73" s="219"/>
    </row>
    <row r="74" spans="1:14" s="75" customFormat="1" ht="15" thickBot="1" x14ac:dyDescent="0.4">
      <c r="A74" s="473"/>
      <c r="B74" s="249"/>
      <c r="C74" s="251"/>
      <c r="D74" s="251"/>
      <c r="E74" s="251"/>
      <c r="F74" s="251"/>
      <c r="G74" s="251"/>
      <c r="H74" s="229"/>
      <c r="I74" s="229"/>
      <c r="J74" s="268"/>
      <c r="K74" s="229"/>
      <c r="L74" s="229"/>
      <c r="M74" s="229"/>
      <c r="N74" s="219"/>
    </row>
    <row r="75" spans="1:14" s="75" customFormat="1" ht="19" thickBot="1" x14ac:dyDescent="0.4">
      <c r="A75" s="473"/>
      <c r="B75" s="453" t="s">
        <v>56</v>
      </c>
      <c r="C75" s="454"/>
      <c r="D75" s="454"/>
      <c r="E75" s="454"/>
      <c r="F75" s="454"/>
      <c r="G75" s="140"/>
      <c r="H75" s="140" t="s">
        <v>459</v>
      </c>
      <c r="I75" s="50"/>
      <c r="J75" s="94"/>
      <c r="K75" s="51"/>
      <c r="L75" s="52">
        <f>L69+L73</f>
        <v>0</v>
      </c>
      <c r="M75" s="53">
        <f>M69+M73</f>
        <v>0</v>
      </c>
      <c r="N75" s="219"/>
    </row>
    <row r="76" spans="1:14" s="75" customFormat="1" ht="19" thickBot="1" x14ac:dyDescent="0.4">
      <c r="A76" s="474"/>
      <c r="B76" s="293"/>
      <c r="C76" s="294"/>
      <c r="D76" s="294"/>
      <c r="E76" s="295"/>
      <c r="F76" s="296"/>
      <c r="G76" s="296"/>
      <c r="H76" s="297"/>
      <c r="I76" s="276"/>
      <c r="J76" s="298"/>
      <c r="K76" s="277"/>
      <c r="L76" s="278"/>
      <c r="M76" s="276"/>
      <c r="N76" s="254"/>
    </row>
    <row r="77" spans="1:14" ht="18.5" x14ac:dyDescent="0.35">
      <c r="A77" s="469" t="s">
        <v>71</v>
      </c>
      <c r="B77" s="56"/>
      <c r="C77" s="20"/>
      <c r="D77" s="20"/>
      <c r="E77" s="8"/>
      <c r="F77" s="13"/>
      <c r="G77" s="13"/>
      <c r="H77" s="141"/>
      <c r="I77" s="68"/>
      <c r="J77" s="95"/>
      <c r="K77" s="69"/>
      <c r="L77" s="69"/>
      <c r="M77" s="69"/>
      <c r="N77" s="146"/>
    </row>
    <row r="78" spans="1:14" ht="18.75" customHeight="1" x14ac:dyDescent="0.35">
      <c r="A78" s="470"/>
      <c r="B78" s="57">
        <v>125</v>
      </c>
      <c r="C78" s="35" t="s">
        <v>72</v>
      </c>
      <c r="D78" s="35" t="s">
        <v>251</v>
      </c>
      <c r="E78" s="40"/>
      <c r="F78" s="160" t="s">
        <v>259</v>
      </c>
      <c r="G78" s="161"/>
      <c r="H78" s="103" t="s">
        <v>555</v>
      </c>
      <c r="I78" s="68" t="s">
        <v>6</v>
      </c>
      <c r="J78" s="95">
        <v>10</v>
      </c>
      <c r="K78" s="312">
        <v>0</v>
      </c>
      <c r="L78" s="69">
        <f>K78*J78</f>
        <v>0</v>
      </c>
      <c r="M78" s="69"/>
      <c r="N78" s="148" t="s">
        <v>130</v>
      </c>
    </row>
    <row r="79" spans="1:14" x14ac:dyDescent="0.35">
      <c r="A79" s="470"/>
      <c r="B79" s="56"/>
      <c r="C79" s="8"/>
      <c r="D79" s="8"/>
      <c r="E79" s="8"/>
      <c r="F79" s="13"/>
      <c r="G79" s="13"/>
      <c r="H79" s="103"/>
      <c r="I79" s="68"/>
      <c r="J79" s="95"/>
      <c r="K79" s="69"/>
      <c r="L79" s="69"/>
      <c r="M79" s="69"/>
      <c r="N79" s="219"/>
    </row>
    <row r="80" spans="1:14" ht="15.5" x14ac:dyDescent="0.35">
      <c r="A80" s="470"/>
      <c r="B80" s="76"/>
      <c r="C80" s="77"/>
      <c r="D80" s="77"/>
      <c r="E80" s="77"/>
      <c r="F80" s="30"/>
      <c r="G80" s="31"/>
      <c r="H80" s="32" t="s">
        <v>459</v>
      </c>
      <c r="I80" s="33"/>
      <c r="J80" s="98"/>
      <c r="K80" s="34"/>
      <c r="L80" s="137">
        <f>SUM(L78:L78)</f>
        <v>0</v>
      </c>
      <c r="M80" s="137">
        <f>SUM(M78:M78)</f>
        <v>0</v>
      </c>
      <c r="N80" s="219"/>
    </row>
    <row r="81" spans="1:14" ht="15.5" x14ac:dyDescent="0.35">
      <c r="A81" s="470"/>
      <c r="B81" s="56"/>
      <c r="C81" s="8"/>
      <c r="D81" s="8"/>
      <c r="E81" s="8"/>
      <c r="F81" s="25"/>
      <c r="G81" s="64"/>
      <c r="H81" s="65"/>
      <c r="I81" s="66"/>
      <c r="J81" s="102"/>
      <c r="K81" s="67"/>
      <c r="L81" s="170"/>
      <c r="M81" s="170"/>
      <c r="N81" s="219"/>
    </row>
    <row r="82" spans="1:14" ht="18.5" x14ac:dyDescent="0.35">
      <c r="A82" s="470"/>
      <c r="B82" s="57">
        <v>126</v>
      </c>
      <c r="C82" s="35" t="s">
        <v>72</v>
      </c>
      <c r="D82" s="35" t="s">
        <v>252</v>
      </c>
      <c r="E82" s="40"/>
      <c r="F82" s="160" t="s">
        <v>260</v>
      </c>
      <c r="G82" s="161"/>
      <c r="H82" s="103" t="s">
        <v>555</v>
      </c>
      <c r="I82" s="68" t="s">
        <v>6</v>
      </c>
      <c r="J82" s="95">
        <v>10</v>
      </c>
      <c r="K82" s="312">
        <v>0</v>
      </c>
      <c r="L82" s="220">
        <f>K82*J82</f>
        <v>0</v>
      </c>
      <c r="M82" s="220"/>
      <c r="N82" s="148" t="s">
        <v>130</v>
      </c>
    </row>
    <row r="83" spans="1:14" x14ac:dyDescent="0.35">
      <c r="A83" s="470"/>
      <c r="B83" s="56"/>
      <c r="C83" s="8"/>
      <c r="D83" s="8"/>
      <c r="E83" s="8"/>
      <c r="F83" s="13"/>
      <c r="G83" s="13"/>
      <c r="H83" s="103"/>
      <c r="I83" s="68"/>
      <c r="J83" s="95"/>
      <c r="K83" s="69"/>
      <c r="L83" s="69"/>
      <c r="M83" s="69"/>
      <c r="N83" s="148"/>
    </row>
    <row r="84" spans="1:14" ht="15.5" x14ac:dyDescent="0.35">
      <c r="A84" s="470"/>
      <c r="B84" s="76"/>
      <c r="C84" s="77"/>
      <c r="D84" s="77"/>
      <c r="E84" s="77"/>
      <c r="F84" s="30"/>
      <c r="G84" s="31"/>
      <c r="H84" s="32" t="s">
        <v>459</v>
      </c>
      <c r="I84" s="33"/>
      <c r="J84" s="98"/>
      <c r="K84" s="34"/>
      <c r="L84" s="137">
        <f>SUM(L82:L82)</f>
        <v>0</v>
      </c>
      <c r="M84" s="137">
        <f>SUM(M82:M82)</f>
        <v>0</v>
      </c>
      <c r="N84" s="148"/>
    </row>
    <row r="85" spans="1:14" ht="15.5" x14ac:dyDescent="0.35">
      <c r="A85" s="470"/>
      <c r="B85" s="56"/>
      <c r="C85" s="8"/>
      <c r="D85" s="8"/>
      <c r="E85" s="8"/>
      <c r="F85" s="25"/>
      <c r="G85" s="64"/>
      <c r="H85" s="65"/>
      <c r="I85" s="66"/>
      <c r="J85" s="102"/>
      <c r="K85" s="283"/>
      <c r="L85" s="170"/>
      <c r="M85" s="170"/>
      <c r="N85" s="148"/>
    </row>
    <row r="86" spans="1:14" ht="18.5" x14ac:dyDescent="0.35">
      <c r="A86" s="470"/>
      <c r="B86" s="57">
        <v>127</v>
      </c>
      <c r="C86" s="35" t="s">
        <v>72</v>
      </c>
      <c r="D86" s="35" t="s">
        <v>257</v>
      </c>
      <c r="E86" s="40"/>
      <c r="F86" s="160" t="s">
        <v>262</v>
      </c>
      <c r="G86" s="161"/>
      <c r="H86" s="103" t="s">
        <v>555</v>
      </c>
      <c r="I86" s="68" t="s">
        <v>6</v>
      </c>
      <c r="J86" s="95">
        <v>10</v>
      </c>
      <c r="K86" s="312">
        <v>0</v>
      </c>
      <c r="L86" s="220">
        <f>K86*J86</f>
        <v>0</v>
      </c>
      <c r="M86" s="220"/>
      <c r="N86" s="148" t="s">
        <v>130</v>
      </c>
    </row>
    <row r="87" spans="1:14" x14ac:dyDescent="0.35">
      <c r="A87" s="470"/>
      <c r="B87" s="56"/>
      <c r="C87" s="8"/>
      <c r="D87" s="8"/>
      <c r="E87" s="8"/>
      <c r="F87" s="13"/>
      <c r="G87" s="13"/>
      <c r="H87" s="103"/>
      <c r="I87" s="68"/>
      <c r="J87" s="95"/>
      <c r="K87" s="69"/>
      <c r="L87" s="69"/>
      <c r="M87" s="69"/>
      <c r="N87" s="148"/>
    </row>
    <row r="88" spans="1:14" ht="15.5" x14ac:dyDescent="0.35">
      <c r="A88" s="470"/>
      <c r="B88" s="76"/>
      <c r="C88" s="77"/>
      <c r="D88" s="77"/>
      <c r="E88" s="77"/>
      <c r="F88" s="30"/>
      <c r="G88" s="31"/>
      <c r="H88" s="32" t="s">
        <v>459</v>
      </c>
      <c r="I88" s="33"/>
      <c r="J88" s="98"/>
      <c r="K88" s="34"/>
      <c r="L88" s="137">
        <f>SUM(L86:L86)</f>
        <v>0</v>
      </c>
      <c r="M88" s="137">
        <f>SUM(M86:M86)</f>
        <v>0</v>
      </c>
      <c r="N88" s="148"/>
    </row>
    <row r="89" spans="1:14" ht="15.5" x14ac:dyDescent="0.35">
      <c r="A89" s="470"/>
      <c r="B89" s="56"/>
      <c r="C89" s="8"/>
      <c r="D89" s="8"/>
      <c r="E89" s="8"/>
      <c r="F89" s="25"/>
      <c r="G89" s="64"/>
      <c r="H89" s="65"/>
      <c r="I89" s="66"/>
      <c r="J89" s="102"/>
      <c r="K89" s="283"/>
      <c r="L89" s="170"/>
      <c r="M89" s="170"/>
      <c r="N89" s="148"/>
    </row>
    <row r="90" spans="1:14" ht="18.5" x14ac:dyDescent="0.35">
      <c r="A90" s="470"/>
      <c r="B90" s="57">
        <v>128</v>
      </c>
      <c r="C90" s="35" t="s">
        <v>72</v>
      </c>
      <c r="D90" s="35" t="s">
        <v>261</v>
      </c>
      <c r="E90" s="40"/>
      <c r="F90" s="160" t="s">
        <v>258</v>
      </c>
      <c r="G90" s="161"/>
      <c r="H90" s="103" t="s">
        <v>555</v>
      </c>
      <c r="I90" s="68" t="s">
        <v>6</v>
      </c>
      <c r="J90" s="95">
        <v>20</v>
      </c>
      <c r="K90" s="312">
        <v>0</v>
      </c>
      <c r="L90" s="220">
        <f>K90*J90</f>
        <v>0</v>
      </c>
      <c r="M90" s="220"/>
      <c r="N90" s="148" t="s">
        <v>130</v>
      </c>
    </row>
    <row r="91" spans="1:14" x14ac:dyDescent="0.35">
      <c r="A91" s="470"/>
      <c r="B91" s="56"/>
      <c r="C91" s="8"/>
      <c r="D91" s="8"/>
      <c r="E91" s="8"/>
      <c r="F91" s="13"/>
      <c r="G91" s="13"/>
      <c r="H91" s="103"/>
      <c r="I91" s="68"/>
      <c r="J91" s="95"/>
      <c r="K91" s="69"/>
      <c r="L91" s="69"/>
      <c r="M91" s="69"/>
      <c r="N91" s="148"/>
    </row>
    <row r="92" spans="1:14" ht="15.5" x14ac:dyDescent="0.35">
      <c r="A92" s="470"/>
      <c r="B92" s="76"/>
      <c r="C92" s="77"/>
      <c r="D92" s="77"/>
      <c r="E92" s="77"/>
      <c r="F92" s="30"/>
      <c r="G92" s="31"/>
      <c r="H92" s="32" t="s">
        <v>459</v>
      </c>
      <c r="I92" s="33"/>
      <c r="J92" s="98"/>
      <c r="K92" s="34"/>
      <c r="L92" s="137">
        <f>SUM(L90:L90)</f>
        <v>0</v>
      </c>
      <c r="M92" s="137">
        <f>SUM(M90:M90)</f>
        <v>0</v>
      </c>
      <c r="N92" s="219"/>
    </row>
    <row r="93" spans="1:14" ht="15" thickBot="1" x14ac:dyDescent="0.4">
      <c r="A93" s="470"/>
      <c r="B93" s="56"/>
      <c r="C93" s="8"/>
      <c r="D93" s="8"/>
      <c r="E93" s="8"/>
      <c r="F93" s="8"/>
      <c r="G93" s="8"/>
      <c r="H93" s="141"/>
      <c r="I93" s="141"/>
      <c r="J93" s="162"/>
      <c r="K93" s="141"/>
      <c r="L93" s="141"/>
      <c r="M93" s="141"/>
      <c r="N93" s="219"/>
    </row>
    <row r="94" spans="1:14" ht="19" thickBot="1" x14ac:dyDescent="0.4">
      <c r="A94" s="470"/>
      <c r="B94" s="453" t="s">
        <v>57</v>
      </c>
      <c r="C94" s="454"/>
      <c r="D94" s="454"/>
      <c r="E94" s="454"/>
      <c r="F94" s="454"/>
      <c r="G94" s="140"/>
      <c r="H94" s="140" t="s">
        <v>459</v>
      </c>
      <c r="I94" s="50"/>
      <c r="J94" s="94"/>
      <c r="K94" s="51"/>
      <c r="L94" s="52">
        <f>L92+L88+L84+L80</f>
        <v>0</v>
      </c>
      <c r="M94" s="53">
        <f>M92+M88+M84+M80</f>
        <v>0</v>
      </c>
      <c r="N94" s="302"/>
    </row>
    <row r="95" spans="1:14" ht="19" thickBot="1" x14ac:dyDescent="0.4">
      <c r="A95" s="471"/>
      <c r="B95" s="58"/>
      <c r="C95" s="21"/>
      <c r="D95" s="21"/>
      <c r="E95" s="14"/>
      <c r="F95" s="15"/>
      <c r="G95" s="15"/>
      <c r="H95" s="16"/>
      <c r="I95" s="17"/>
      <c r="J95" s="96"/>
      <c r="K95" s="277"/>
      <c r="L95" s="278"/>
      <c r="M95" s="276"/>
      <c r="N95" s="254"/>
    </row>
    <row r="96" spans="1:14" x14ac:dyDescent="0.35">
      <c r="A96" s="78"/>
      <c r="J96" s="99"/>
      <c r="N96" s="70"/>
    </row>
    <row r="97" spans="1:14" x14ac:dyDescent="0.35">
      <c r="A97" s="78"/>
      <c r="J97" s="99"/>
      <c r="N97" s="70"/>
    </row>
    <row r="98" spans="1:14" x14ac:dyDescent="0.35">
      <c r="A98" s="78"/>
      <c r="J98" s="99"/>
      <c r="N98" s="70"/>
    </row>
    <row r="99" spans="1:14" x14ac:dyDescent="0.35">
      <c r="A99" s="78"/>
      <c r="J99" s="99"/>
      <c r="N99" s="70"/>
    </row>
    <row r="100" spans="1:14" x14ac:dyDescent="0.35">
      <c r="A100" s="78"/>
      <c r="J100" s="99"/>
      <c r="N100" s="70"/>
    </row>
    <row r="101" spans="1:14" x14ac:dyDescent="0.35">
      <c r="A101" s="78"/>
      <c r="J101" s="99"/>
      <c r="N101" s="70"/>
    </row>
    <row r="102" spans="1:14" x14ac:dyDescent="0.35">
      <c r="A102" s="78"/>
      <c r="J102" s="99"/>
      <c r="N102" s="70"/>
    </row>
    <row r="103" spans="1:14" x14ac:dyDescent="0.35">
      <c r="A103" s="78"/>
      <c r="J103" s="99"/>
      <c r="N103" s="70"/>
    </row>
    <row r="104" spans="1:14" x14ac:dyDescent="0.35">
      <c r="A104" s="78"/>
      <c r="J104" s="99"/>
      <c r="N104" s="70"/>
    </row>
    <row r="105" spans="1:14" x14ac:dyDescent="0.35">
      <c r="A105" s="78"/>
      <c r="J105" s="99"/>
      <c r="N105" s="70"/>
    </row>
    <row r="106" spans="1:14" x14ac:dyDescent="0.35">
      <c r="A106" s="78"/>
      <c r="J106" s="99"/>
      <c r="N106" s="70"/>
    </row>
    <row r="107" spans="1:14" x14ac:dyDescent="0.35">
      <c r="A107" s="78"/>
      <c r="J107" s="99"/>
      <c r="N107" s="70"/>
    </row>
    <row r="108" spans="1:14" x14ac:dyDescent="0.35">
      <c r="A108" s="78"/>
      <c r="J108" s="99"/>
      <c r="N108" s="70"/>
    </row>
    <row r="109" spans="1:14" x14ac:dyDescent="0.35">
      <c r="A109" s="78"/>
      <c r="J109" s="99"/>
      <c r="N109" s="70"/>
    </row>
    <row r="110" spans="1:14" x14ac:dyDescent="0.35">
      <c r="A110" s="78"/>
      <c r="J110" s="99"/>
      <c r="N110" s="70"/>
    </row>
    <row r="111" spans="1:14" x14ac:dyDescent="0.35">
      <c r="A111" s="78"/>
      <c r="J111" s="99"/>
      <c r="N111" s="70"/>
    </row>
    <row r="112" spans="1:14" x14ac:dyDescent="0.35">
      <c r="A112" s="78"/>
      <c r="J112" s="99"/>
      <c r="N112" s="70"/>
    </row>
    <row r="113" spans="1:14" x14ac:dyDescent="0.35">
      <c r="A113" s="78"/>
      <c r="J113" s="99"/>
      <c r="N113" s="70"/>
    </row>
    <row r="114" spans="1:14" x14ac:dyDescent="0.35">
      <c r="A114" s="78"/>
      <c r="J114" s="99"/>
      <c r="N114" s="70"/>
    </row>
    <row r="115" spans="1:14" x14ac:dyDescent="0.35">
      <c r="A115" s="78"/>
      <c r="J115" s="99"/>
      <c r="N115" s="70"/>
    </row>
    <row r="116" spans="1:14" x14ac:dyDescent="0.35">
      <c r="A116" s="78"/>
      <c r="J116" s="99"/>
      <c r="N116" s="70"/>
    </row>
    <row r="117" spans="1:14" x14ac:dyDescent="0.35">
      <c r="A117" s="78"/>
      <c r="J117" s="99"/>
      <c r="N117" s="70"/>
    </row>
    <row r="118" spans="1:14" x14ac:dyDescent="0.35">
      <c r="A118" s="78"/>
      <c r="J118" s="99"/>
      <c r="N118" s="70"/>
    </row>
    <row r="119" spans="1:14" x14ac:dyDescent="0.35">
      <c r="A119" s="78"/>
      <c r="J119" s="99"/>
      <c r="N119" s="70"/>
    </row>
    <row r="120" spans="1:14" x14ac:dyDescent="0.35">
      <c r="A120" s="78"/>
      <c r="J120" s="99"/>
      <c r="N120" s="70"/>
    </row>
    <row r="121" spans="1:14" x14ac:dyDescent="0.35">
      <c r="A121" s="78"/>
      <c r="J121" s="99"/>
      <c r="N121" s="70"/>
    </row>
    <row r="122" spans="1:14" x14ac:dyDescent="0.35">
      <c r="A122" s="78"/>
      <c r="J122" s="99"/>
      <c r="N122" s="70"/>
    </row>
    <row r="123" spans="1:14" x14ac:dyDescent="0.35">
      <c r="A123" s="78"/>
      <c r="J123" s="99"/>
      <c r="N123" s="70"/>
    </row>
    <row r="124" spans="1:14" x14ac:dyDescent="0.35">
      <c r="A124" s="78"/>
      <c r="J124" s="99"/>
      <c r="N124" s="70"/>
    </row>
    <row r="125" spans="1:14" x14ac:dyDescent="0.35">
      <c r="A125" s="78"/>
      <c r="J125" s="99"/>
      <c r="N125" s="70"/>
    </row>
    <row r="126" spans="1:14" x14ac:dyDescent="0.35">
      <c r="A126" s="78"/>
      <c r="J126" s="99"/>
      <c r="N126" s="70"/>
    </row>
    <row r="127" spans="1:14" x14ac:dyDescent="0.35">
      <c r="A127" s="78"/>
      <c r="J127" s="99"/>
      <c r="N127" s="70"/>
    </row>
    <row r="128" spans="1:14" x14ac:dyDescent="0.35">
      <c r="A128" s="78"/>
      <c r="J128" s="99"/>
      <c r="N128" s="70"/>
    </row>
    <row r="129" spans="1:14" x14ac:dyDescent="0.35">
      <c r="A129" s="78"/>
      <c r="J129" s="99"/>
      <c r="N129" s="70"/>
    </row>
    <row r="130" spans="1:14" x14ac:dyDescent="0.35">
      <c r="A130" s="78"/>
      <c r="J130" s="99"/>
      <c r="N130" s="70"/>
    </row>
    <row r="131" spans="1:14" x14ac:dyDescent="0.35">
      <c r="A131" s="78"/>
      <c r="J131" s="99"/>
      <c r="N131" s="70"/>
    </row>
    <row r="132" spans="1:14" x14ac:dyDescent="0.35">
      <c r="A132" s="78"/>
      <c r="J132" s="99"/>
      <c r="N132" s="70"/>
    </row>
    <row r="133" spans="1:14" x14ac:dyDescent="0.35">
      <c r="A133" s="78"/>
      <c r="J133" s="99"/>
      <c r="N133" s="70"/>
    </row>
    <row r="134" spans="1:14" x14ac:dyDescent="0.35">
      <c r="A134" s="78"/>
      <c r="J134" s="99"/>
      <c r="N134" s="70"/>
    </row>
    <row r="135" spans="1:14" x14ac:dyDescent="0.35">
      <c r="A135" s="78"/>
      <c r="J135" s="99"/>
      <c r="N135" s="70"/>
    </row>
    <row r="136" spans="1:14" x14ac:dyDescent="0.35">
      <c r="A136" s="78"/>
      <c r="J136" s="99"/>
      <c r="N136" s="70"/>
    </row>
    <row r="137" spans="1:14" x14ac:dyDescent="0.35">
      <c r="A137" s="78"/>
      <c r="J137" s="99"/>
      <c r="N137" s="70"/>
    </row>
    <row r="138" spans="1:14" x14ac:dyDescent="0.35">
      <c r="A138" s="78"/>
      <c r="J138" s="99"/>
      <c r="N138" s="70"/>
    </row>
    <row r="139" spans="1:14" x14ac:dyDescent="0.35">
      <c r="A139" s="78"/>
      <c r="J139" s="99"/>
      <c r="N139" s="70"/>
    </row>
    <row r="140" spans="1:14" x14ac:dyDescent="0.35">
      <c r="A140" s="78"/>
      <c r="J140" s="99"/>
      <c r="N140" s="70"/>
    </row>
    <row r="141" spans="1:14" x14ac:dyDescent="0.35">
      <c r="A141" s="78"/>
      <c r="J141" s="99"/>
      <c r="N141" s="70"/>
    </row>
    <row r="142" spans="1:14" x14ac:dyDescent="0.35">
      <c r="A142" s="78"/>
      <c r="J142" s="99"/>
      <c r="N142" s="70"/>
    </row>
    <row r="143" spans="1:14" x14ac:dyDescent="0.35">
      <c r="A143" s="78"/>
      <c r="J143" s="99"/>
      <c r="N143" s="70"/>
    </row>
    <row r="144" spans="1:14" x14ac:dyDescent="0.35">
      <c r="A144" s="78"/>
      <c r="J144" s="99"/>
      <c r="N144" s="70"/>
    </row>
    <row r="145" spans="1:14" x14ac:dyDescent="0.35">
      <c r="A145" s="78"/>
      <c r="J145" s="99"/>
      <c r="N145" s="70"/>
    </row>
    <row r="146" spans="1:14" x14ac:dyDescent="0.35">
      <c r="A146" s="78"/>
      <c r="J146" s="99"/>
      <c r="N146" s="70"/>
    </row>
    <row r="147" spans="1:14" x14ac:dyDescent="0.35">
      <c r="A147" s="78"/>
      <c r="J147" s="99"/>
      <c r="N147" s="70"/>
    </row>
    <row r="148" spans="1:14" x14ac:dyDescent="0.35">
      <c r="A148" s="78"/>
      <c r="J148" s="99"/>
      <c r="N148" s="70"/>
    </row>
    <row r="149" spans="1:14" x14ac:dyDescent="0.35">
      <c r="A149" s="78"/>
      <c r="J149" s="99"/>
      <c r="N149" s="70"/>
    </row>
    <row r="150" spans="1:14" x14ac:dyDescent="0.35">
      <c r="A150" s="78"/>
      <c r="J150" s="99"/>
      <c r="N150" s="70"/>
    </row>
    <row r="151" spans="1:14" x14ac:dyDescent="0.35">
      <c r="A151" s="78"/>
      <c r="J151" s="99"/>
      <c r="N151" s="70"/>
    </row>
    <row r="152" spans="1:14" x14ac:dyDescent="0.35">
      <c r="A152" s="78"/>
      <c r="J152" s="99"/>
      <c r="N152" s="70"/>
    </row>
    <row r="153" spans="1:14" x14ac:dyDescent="0.35">
      <c r="A153" s="78"/>
      <c r="J153" s="99"/>
      <c r="N153" s="70"/>
    </row>
    <row r="154" spans="1:14" x14ac:dyDescent="0.35">
      <c r="A154" s="78"/>
      <c r="J154" s="99"/>
      <c r="N154" s="70"/>
    </row>
    <row r="155" spans="1:14" x14ac:dyDescent="0.35">
      <c r="A155" s="78"/>
      <c r="J155" s="99"/>
      <c r="N155" s="70"/>
    </row>
    <row r="156" spans="1:14" x14ac:dyDescent="0.35">
      <c r="A156" s="78"/>
      <c r="J156" s="99"/>
      <c r="N156" s="70"/>
    </row>
    <row r="157" spans="1:14" x14ac:dyDescent="0.35">
      <c r="A157" s="78"/>
      <c r="J157" s="99"/>
      <c r="N157" s="70"/>
    </row>
    <row r="158" spans="1:14" x14ac:dyDescent="0.35">
      <c r="J158" s="99"/>
      <c r="N158" s="70"/>
    </row>
    <row r="159" spans="1:14" x14ac:dyDescent="0.35">
      <c r="J159" s="99"/>
      <c r="N159" s="70"/>
    </row>
    <row r="160" spans="1:14" x14ac:dyDescent="0.35">
      <c r="J160" s="99"/>
    </row>
    <row r="161" spans="10:10" x14ac:dyDescent="0.35">
      <c r="J161" s="99"/>
    </row>
    <row r="162" spans="10:10" x14ac:dyDescent="0.35">
      <c r="J162" s="99"/>
    </row>
    <row r="163" spans="10:10" x14ac:dyDescent="0.35">
      <c r="J163" s="99"/>
    </row>
    <row r="164" spans="10:10" x14ac:dyDescent="0.35">
      <c r="J164" s="99"/>
    </row>
    <row r="165" spans="10:10" x14ac:dyDescent="0.35">
      <c r="J165" s="99"/>
    </row>
    <row r="166" spans="10:10" x14ac:dyDescent="0.35">
      <c r="J166" s="99"/>
    </row>
    <row r="167" spans="10:10" x14ac:dyDescent="0.35">
      <c r="J167" s="99"/>
    </row>
    <row r="168" spans="10:10" x14ac:dyDescent="0.35">
      <c r="J168" s="99"/>
    </row>
    <row r="169" spans="10:10" x14ac:dyDescent="0.35">
      <c r="J169" s="99"/>
    </row>
    <row r="170" spans="10:10" x14ac:dyDescent="0.35">
      <c r="J170" s="99"/>
    </row>
    <row r="171" spans="10:10" x14ac:dyDescent="0.35">
      <c r="J171" s="99"/>
    </row>
    <row r="172" spans="10:10" x14ac:dyDescent="0.35">
      <c r="J172" s="99"/>
    </row>
    <row r="173" spans="10:10" x14ac:dyDescent="0.35">
      <c r="J173" s="99"/>
    </row>
    <row r="174" spans="10:10" x14ac:dyDescent="0.35">
      <c r="J174" s="99"/>
    </row>
    <row r="175" spans="10:10" x14ac:dyDescent="0.35">
      <c r="J175" s="99"/>
    </row>
    <row r="176" spans="10:10" x14ac:dyDescent="0.35">
      <c r="J176" s="99"/>
    </row>
    <row r="177" spans="10:10" x14ac:dyDescent="0.35">
      <c r="J177" s="99"/>
    </row>
    <row r="178" spans="10:10" x14ac:dyDescent="0.35">
      <c r="J178" s="99"/>
    </row>
    <row r="179" spans="10:10" x14ac:dyDescent="0.35">
      <c r="J179" s="99"/>
    </row>
    <row r="180" spans="10:10" x14ac:dyDescent="0.35">
      <c r="J180" s="99"/>
    </row>
    <row r="181" spans="10:10" x14ac:dyDescent="0.35">
      <c r="J181" s="99"/>
    </row>
    <row r="182" spans="10:10" x14ac:dyDescent="0.35">
      <c r="J182" s="99"/>
    </row>
    <row r="183" spans="10:10" x14ac:dyDescent="0.35">
      <c r="J183" s="99"/>
    </row>
    <row r="184" spans="10:10" x14ac:dyDescent="0.35">
      <c r="J184" s="99"/>
    </row>
    <row r="185" spans="10:10" x14ac:dyDescent="0.35">
      <c r="J185" s="99"/>
    </row>
    <row r="186" spans="10:10" x14ac:dyDescent="0.35">
      <c r="J186" s="99"/>
    </row>
    <row r="187" spans="10:10" x14ac:dyDescent="0.35">
      <c r="J187" s="99"/>
    </row>
    <row r="188" spans="10:10" x14ac:dyDescent="0.35">
      <c r="J188" s="99"/>
    </row>
    <row r="189" spans="10:10" x14ac:dyDescent="0.35">
      <c r="J189" s="99"/>
    </row>
    <row r="190" spans="10:10" x14ac:dyDescent="0.35">
      <c r="J190" s="99"/>
    </row>
    <row r="191" spans="10:10" x14ac:dyDescent="0.35">
      <c r="J191" s="99"/>
    </row>
    <row r="192" spans="10:10" x14ac:dyDescent="0.35">
      <c r="J192" s="99"/>
    </row>
    <row r="193" spans="10:10" x14ac:dyDescent="0.35">
      <c r="J193" s="99"/>
    </row>
    <row r="194" spans="10:10" x14ac:dyDescent="0.35">
      <c r="J194" s="99"/>
    </row>
    <row r="195" spans="10:10" x14ac:dyDescent="0.35">
      <c r="J195" s="99"/>
    </row>
    <row r="196" spans="10:10" x14ac:dyDescent="0.35">
      <c r="J196" s="99"/>
    </row>
    <row r="197" spans="10:10" x14ac:dyDescent="0.35">
      <c r="J197" s="99"/>
    </row>
    <row r="198" spans="10:10" x14ac:dyDescent="0.35">
      <c r="J198" s="99"/>
    </row>
    <row r="199" spans="10:10" x14ac:dyDescent="0.35">
      <c r="J199" s="99"/>
    </row>
    <row r="200" spans="10:10" x14ac:dyDescent="0.35">
      <c r="J200" s="99"/>
    </row>
    <row r="201" spans="10:10" x14ac:dyDescent="0.35">
      <c r="J201" s="99"/>
    </row>
    <row r="202" spans="10:10" x14ac:dyDescent="0.35">
      <c r="J202" s="99"/>
    </row>
    <row r="203" spans="10:10" x14ac:dyDescent="0.35">
      <c r="J203" s="99"/>
    </row>
    <row r="204" spans="10:10" x14ac:dyDescent="0.35">
      <c r="J204" s="99"/>
    </row>
    <row r="205" spans="10:10" x14ac:dyDescent="0.35">
      <c r="J205" s="99"/>
    </row>
    <row r="206" spans="10:10" x14ac:dyDescent="0.35">
      <c r="J206" s="99"/>
    </row>
    <row r="207" spans="10:10" x14ac:dyDescent="0.35">
      <c r="J207" s="99"/>
    </row>
    <row r="208" spans="10:10" x14ac:dyDescent="0.35">
      <c r="J208" s="99"/>
    </row>
    <row r="209" spans="10:10" x14ac:dyDescent="0.35">
      <c r="J209" s="99"/>
    </row>
    <row r="210" spans="10:10" x14ac:dyDescent="0.35">
      <c r="J210" s="99"/>
    </row>
    <row r="211" spans="10:10" x14ac:dyDescent="0.35">
      <c r="J211" s="99"/>
    </row>
    <row r="212" spans="10:10" x14ac:dyDescent="0.35">
      <c r="J212" s="99"/>
    </row>
    <row r="213" spans="10:10" x14ac:dyDescent="0.35">
      <c r="J213" s="99"/>
    </row>
    <row r="214" spans="10:10" x14ac:dyDescent="0.35">
      <c r="J214" s="99"/>
    </row>
    <row r="215" spans="10:10" x14ac:dyDescent="0.35">
      <c r="J215" s="99"/>
    </row>
    <row r="216" spans="10:10" x14ac:dyDescent="0.35">
      <c r="J216" s="99"/>
    </row>
    <row r="217" spans="10:10" x14ac:dyDescent="0.35">
      <c r="J217" s="99"/>
    </row>
    <row r="218" spans="10:10" x14ac:dyDescent="0.35">
      <c r="J218" s="99"/>
    </row>
    <row r="219" spans="10:10" x14ac:dyDescent="0.35">
      <c r="J219" s="99"/>
    </row>
    <row r="220" spans="10:10" x14ac:dyDescent="0.35">
      <c r="J220" s="99"/>
    </row>
    <row r="221" spans="10:10" x14ac:dyDescent="0.35">
      <c r="J221" s="99"/>
    </row>
    <row r="222" spans="10:10" x14ac:dyDescent="0.35">
      <c r="J222" s="99"/>
    </row>
    <row r="223" spans="10:10" x14ac:dyDescent="0.35">
      <c r="J223" s="99"/>
    </row>
    <row r="224" spans="10:10" x14ac:dyDescent="0.35">
      <c r="J224" s="99"/>
    </row>
    <row r="225" spans="10:10" x14ac:dyDescent="0.35">
      <c r="J225" s="99"/>
    </row>
    <row r="226" spans="10:10" x14ac:dyDescent="0.35">
      <c r="J226" s="99"/>
    </row>
    <row r="227" spans="10:10" x14ac:dyDescent="0.35">
      <c r="J227" s="99"/>
    </row>
    <row r="228" spans="10:10" x14ac:dyDescent="0.35">
      <c r="J228" s="99"/>
    </row>
    <row r="229" spans="10:10" x14ac:dyDescent="0.35">
      <c r="J229" s="99"/>
    </row>
    <row r="230" spans="10:10" x14ac:dyDescent="0.35">
      <c r="J230" s="99"/>
    </row>
    <row r="231" spans="10:10" x14ac:dyDescent="0.35">
      <c r="J231" s="99"/>
    </row>
    <row r="232" spans="10:10" x14ac:dyDescent="0.35">
      <c r="J232" s="99"/>
    </row>
    <row r="233" spans="10:10" x14ac:dyDescent="0.35">
      <c r="J233" s="99"/>
    </row>
    <row r="234" spans="10:10" x14ac:dyDescent="0.35">
      <c r="J234" s="99"/>
    </row>
    <row r="235" spans="10:10" x14ac:dyDescent="0.35">
      <c r="J235" s="99"/>
    </row>
    <row r="236" spans="10:10" x14ac:dyDescent="0.35">
      <c r="J236" s="99"/>
    </row>
    <row r="237" spans="10:10" x14ac:dyDescent="0.35">
      <c r="J237" s="99"/>
    </row>
    <row r="238" spans="10:10" x14ac:dyDescent="0.35">
      <c r="J238" s="99"/>
    </row>
    <row r="239" spans="10:10" x14ac:dyDescent="0.35">
      <c r="J239" s="99"/>
    </row>
    <row r="240" spans="10:10" x14ac:dyDescent="0.35">
      <c r="J240" s="99"/>
    </row>
    <row r="241" spans="10:10" x14ac:dyDescent="0.35">
      <c r="J241" s="99"/>
    </row>
    <row r="242" spans="10:10" x14ac:dyDescent="0.35">
      <c r="J242" s="99"/>
    </row>
    <row r="243" spans="10:10" x14ac:dyDescent="0.35">
      <c r="J243" s="99"/>
    </row>
    <row r="244" spans="10:10" x14ac:dyDescent="0.35">
      <c r="J244" s="99"/>
    </row>
    <row r="245" spans="10:10" x14ac:dyDescent="0.35">
      <c r="J245" s="99"/>
    </row>
    <row r="246" spans="10:10" x14ac:dyDescent="0.35">
      <c r="J246" s="99"/>
    </row>
    <row r="247" spans="10:10" x14ac:dyDescent="0.35">
      <c r="J247" s="99"/>
    </row>
    <row r="248" spans="10:10" x14ac:dyDescent="0.35">
      <c r="J248" s="99"/>
    </row>
    <row r="249" spans="10:10" x14ac:dyDescent="0.35">
      <c r="J249" s="99"/>
    </row>
    <row r="250" spans="10:10" x14ac:dyDescent="0.35">
      <c r="J250" s="99"/>
    </row>
    <row r="251" spans="10:10" x14ac:dyDescent="0.35">
      <c r="J251" s="99"/>
    </row>
    <row r="252" spans="10:10" x14ac:dyDescent="0.35">
      <c r="J252" s="99"/>
    </row>
    <row r="253" spans="10:10" x14ac:dyDescent="0.35">
      <c r="J253" s="99"/>
    </row>
    <row r="254" spans="10:10" x14ac:dyDescent="0.35">
      <c r="J254" s="99"/>
    </row>
    <row r="255" spans="10:10" x14ac:dyDescent="0.35">
      <c r="J255" s="99"/>
    </row>
    <row r="256" spans="10:10" x14ac:dyDescent="0.35">
      <c r="J256" s="99"/>
    </row>
    <row r="257" spans="10:10" x14ac:dyDescent="0.35">
      <c r="J257" s="99"/>
    </row>
    <row r="258" spans="10:10" x14ac:dyDescent="0.35">
      <c r="J258" s="99"/>
    </row>
    <row r="259" spans="10:10" x14ac:dyDescent="0.35">
      <c r="J259" s="99"/>
    </row>
    <row r="260" spans="10:10" x14ac:dyDescent="0.35">
      <c r="J260" s="99"/>
    </row>
    <row r="261" spans="10:10" x14ac:dyDescent="0.35">
      <c r="J261" s="99"/>
    </row>
    <row r="262" spans="10:10" x14ac:dyDescent="0.35">
      <c r="J262" s="99"/>
    </row>
    <row r="263" spans="10:10" x14ac:dyDescent="0.35">
      <c r="J263" s="99"/>
    </row>
    <row r="264" spans="10:10" x14ac:dyDescent="0.35">
      <c r="J264" s="99"/>
    </row>
    <row r="265" spans="10:10" x14ac:dyDescent="0.35">
      <c r="J265" s="99"/>
    </row>
    <row r="266" spans="10:10" x14ac:dyDescent="0.35">
      <c r="J266" s="99"/>
    </row>
    <row r="267" spans="10:10" x14ac:dyDescent="0.35">
      <c r="J267" s="99"/>
    </row>
    <row r="268" spans="10:10" x14ac:dyDescent="0.35">
      <c r="J268" s="99"/>
    </row>
    <row r="269" spans="10:10" x14ac:dyDescent="0.35">
      <c r="J269" s="99"/>
    </row>
    <row r="270" spans="10:10" x14ac:dyDescent="0.35">
      <c r="J270" s="99"/>
    </row>
    <row r="271" spans="10:10" x14ac:dyDescent="0.35">
      <c r="J271" s="99"/>
    </row>
    <row r="272" spans="10:10" x14ac:dyDescent="0.35">
      <c r="J272" s="99"/>
    </row>
    <row r="273" spans="10:10" x14ac:dyDescent="0.35">
      <c r="J273" s="99"/>
    </row>
    <row r="274" spans="10:10" x14ac:dyDescent="0.35">
      <c r="J274" s="99"/>
    </row>
    <row r="275" spans="10:10" x14ac:dyDescent="0.35">
      <c r="J275" s="99"/>
    </row>
    <row r="276" spans="10:10" x14ac:dyDescent="0.35">
      <c r="J276" s="99"/>
    </row>
    <row r="277" spans="10:10" x14ac:dyDescent="0.35">
      <c r="J277" s="99"/>
    </row>
    <row r="278" spans="10:10" x14ac:dyDescent="0.35">
      <c r="J278" s="99"/>
    </row>
    <row r="279" spans="10:10" x14ac:dyDescent="0.35">
      <c r="J279" s="99"/>
    </row>
    <row r="280" spans="10:10" x14ac:dyDescent="0.35">
      <c r="J280" s="99"/>
    </row>
    <row r="281" spans="10:10" x14ac:dyDescent="0.35">
      <c r="J281" s="99"/>
    </row>
    <row r="282" spans="10:10" x14ac:dyDescent="0.35">
      <c r="J282" s="99"/>
    </row>
    <row r="283" spans="10:10" x14ac:dyDescent="0.35">
      <c r="J283" s="99"/>
    </row>
    <row r="284" spans="10:10" x14ac:dyDescent="0.35">
      <c r="J284" s="99"/>
    </row>
    <row r="285" spans="10:10" x14ac:dyDescent="0.35">
      <c r="J285" s="99"/>
    </row>
    <row r="286" spans="10:10" x14ac:dyDescent="0.35">
      <c r="J286" s="99"/>
    </row>
    <row r="287" spans="10:10" x14ac:dyDescent="0.35">
      <c r="J287" s="99"/>
    </row>
    <row r="288" spans="10:10" x14ac:dyDescent="0.35">
      <c r="J288" s="99"/>
    </row>
    <row r="289" spans="10:10" x14ac:dyDescent="0.35">
      <c r="J289" s="99"/>
    </row>
    <row r="290" spans="10:10" x14ac:dyDescent="0.35">
      <c r="J290" s="99"/>
    </row>
    <row r="291" spans="10:10" x14ac:dyDescent="0.35">
      <c r="J291" s="99"/>
    </row>
    <row r="292" spans="10:10" x14ac:dyDescent="0.35">
      <c r="J292" s="99"/>
    </row>
    <row r="293" spans="10:10" x14ac:dyDescent="0.35">
      <c r="J293" s="99"/>
    </row>
    <row r="294" spans="10:10" x14ac:dyDescent="0.35">
      <c r="J294" s="99"/>
    </row>
    <row r="295" spans="10:10" x14ac:dyDescent="0.35">
      <c r="J295" s="99"/>
    </row>
    <row r="296" spans="10:10" x14ac:dyDescent="0.35">
      <c r="J296" s="99"/>
    </row>
    <row r="297" spans="10:10" x14ac:dyDescent="0.35">
      <c r="J297" s="99"/>
    </row>
    <row r="298" spans="10:10" x14ac:dyDescent="0.35">
      <c r="J298" s="99"/>
    </row>
    <row r="299" spans="10:10" x14ac:dyDescent="0.35">
      <c r="J299" s="99"/>
    </row>
    <row r="300" spans="10:10" x14ac:dyDescent="0.35">
      <c r="J300" s="99"/>
    </row>
    <row r="301" spans="10:10" x14ac:dyDescent="0.35">
      <c r="J301" s="99"/>
    </row>
    <row r="302" spans="10:10" x14ac:dyDescent="0.35">
      <c r="J302" s="99"/>
    </row>
    <row r="303" spans="10:10" x14ac:dyDescent="0.35">
      <c r="J303" s="99"/>
    </row>
    <row r="304" spans="10:10" x14ac:dyDescent="0.35">
      <c r="J304" s="99"/>
    </row>
    <row r="305" spans="10:10" x14ac:dyDescent="0.35">
      <c r="J305" s="99"/>
    </row>
    <row r="306" spans="10:10" x14ac:dyDescent="0.35">
      <c r="J306" s="99"/>
    </row>
    <row r="307" spans="10:10" x14ac:dyDescent="0.35">
      <c r="J307" s="99"/>
    </row>
  </sheetData>
  <sheetProtection sheet="1" objects="1" scenarios="1"/>
  <mergeCells count="22">
    <mergeCell ref="A9:G9"/>
    <mergeCell ref="A2:N2"/>
    <mergeCell ref="A5:G5"/>
    <mergeCell ref="A6:G6"/>
    <mergeCell ref="A7:G7"/>
    <mergeCell ref="A8:G8"/>
    <mergeCell ref="A10:G10"/>
    <mergeCell ref="F14:G14"/>
    <mergeCell ref="A16:A22"/>
    <mergeCell ref="B21:F21"/>
    <mergeCell ref="A23:A41"/>
    <mergeCell ref="B40:F40"/>
    <mergeCell ref="C14:D14"/>
    <mergeCell ref="A11:K11"/>
    <mergeCell ref="A77:A95"/>
    <mergeCell ref="B94:F94"/>
    <mergeCell ref="A49:A55"/>
    <mergeCell ref="B54:F54"/>
    <mergeCell ref="A42:A48"/>
    <mergeCell ref="B47:F47"/>
    <mergeCell ref="A56:A76"/>
    <mergeCell ref="B75:F75"/>
  </mergeCells>
  <pageMargins left="0.23622047244094491" right="0.23622047244094491" top="0.11811023622047245" bottom="0.23622047244094491" header="0.11811023622047245" footer="7.874015748031496E-2"/>
  <pageSetup paperSize="9" scale="43" firstPageNumber="18" fitToHeight="0" orientation="landscape" useFirstPageNumber="1" horizontalDpi="1200" verticalDpi="1200" r:id="rId1"/>
  <headerFooter>
    <oddFooter>&amp;C&amp;P/43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N298"/>
  <sheetViews>
    <sheetView view="pageLayout" zoomScale="40" zoomScaleNormal="85" zoomScalePageLayoutView="40" workbookViewId="0">
      <selection activeCell="K17" sqref="K17"/>
    </sheetView>
  </sheetViews>
  <sheetFormatPr defaultColWidth="9.1796875" defaultRowHeight="14.5" x14ac:dyDescent="0.35"/>
  <cols>
    <col min="1" max="1" width="5" style="73" customWidth="1"/>
    <col min="2" max="2" width="5.7265625" style="54" customWidth="1"/>
    <col min="3" max="3" width="5.81640625" style="6" customWidth="1"/>
    <col min="4" max="4" width="7" style="6" customWidth="1"/>
    <col min="5" max="5" width="3.7265625" style="6" customWidth="1"/>
    <col min="6" max="6" width="50.7265625" style="6" customWidth="1"/>
    <col min="7" max="7" width="20.26953125" style="6" customWidth="1"/>
    <col min="8" max="8" width="55.7265625" style="73" customWidth="1"/>
    <col min="9" max="11" width="13.7265625" style="73" customWidth="1"/>
    <col min="12" max="13" width="25.7265625" style="73" customWidth="1"/>
    <col min="14" max="14" width="85.7265625" style="73" customWidth="1"/>
    <col min="15" max="15" width="13.7265625" style="73" customWidth="1"/>
    <col min="16" max="16384" width="9.1796875" style="73"/>
  </cols>
  <sheetData>
    <row r="2" spans="1:14" s="151" customFormat="1" ht="35.15" customHeight="1" x14ac:dyDescent="0.35">
      <c r="A2" s="467" t="s">
        <v>751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</row>
    <row r="3" spans="1:14" s="151" customFormat="1" ht="10" customHeight="1" thickBot="1" x14ac:dyDescent="0.4">
      <c r="A3" s="264"/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156"/>
      <c r="M3" s="156"/>
      <c r="N3" s="156"/>
    </row>
    <row r="4" spans="1:14" ht="26.5" thickBot="1" x14ac:dyDescent="0.4">
      <c r="A4" s="242"/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153" t="s">
        <v>7</v>
      </c>
      <c r="M4" s="153" t="s">
        <v>8</v>
      </c>
      <c r="N4" s="152"/>
    </row>
    <row r="5" spans="1:14" ht="18.5" x14ac:dyDescent="0.35">
      <c r="A5" s="457" t="s">
        <v>55</v>
      </c>
      <c r="B5" s="458"/>
      <c r="C5" s="458"/>
      <c r="D5" s="458"/>
      <c r="E5" s="458"/>
      <c r="F5" s="458"/>
      <c r="G5" s="458"/>
      <c r="H5" s="243"/>
      <c r="I5" s="243"/>
      <c r="J5" s="243"/>
      <c r="K5" s="243"/>
      <c r="L5" s="154">
        <f>L26</f>
        <v>0</v>
      </c>
      <c r="M5" s="154">
        <f>M26</f>
        <v>0</v>
      </c>
      <c r="N5" s="152"/>
    </row>
    <row r="6" spans="1:14" ht="18.5" x14ac:dyDescent="0.35">
      <c r="A6" s="457" t="s">
        <v>37</v>
      </c>
      <c r="B6" s="458"/>
      <c r="C6" s="458"/>
      <c r="D6" s="458"/>
      <c r="E6" s="458"/>
      <c r="F6" s="458"/>
      <c r="G6" s="458"/>
      <c r="H6" s="243"/>
      <c r="I6" s="243"/>
      <c r="J6" s="243"/>
      <c r="K6" s="243"/>
      <c r="L6" s="154">
        <f>L78</f>
        <v>0</v>
      </c>
      <c r="M6" s="154">
        <f>M78</f>
        <v>0</v>
      </c>
      <c r="N6" s="152"/>
    </row>
    <row r="7" spans="1:14" ht="18.5" x14ac:dyDescent="0.35">
      <c r="A7" s="457" t="s">
        <v>43</v>
      </c>
      <c r="B7" s="458"/>
      <c r="C7" s="458"/>
      <c r="D7" s="458"/>
      <c r="E7" s="458"/>
      <c r="F7" s="458"/>
      <c r="G7" s="458"/>
      <c r="H7" s="243"/>
      <c r="I7" s="243"/>
      <c r="J7" s="243"/>
      <c r="K7" s="243"/>
      <c r="L7" s="154">
        <f>L97</f>
        <v>0</v>
      </c>
      <c r="M7" s="154">
        <f>M97</f>
        <v>0</v>
      </c>
      <c r="N7" s="152"/>
    </row>
    <row r="8" spans="1:14" ht="18.5" x14ac:dyDescent="0.35">
      <c r="A8" s="457" t="s">
        <v>45</v>
      </c>
      <c r="B8" s="458"/>
      <c r="C8" s="458"/>
      <c r="D8" s="458"/>
      <c r="E8" s="458"/>
      <c r="F8" s="458"/>
      <c r="G8" s="458"/>
      <c r="H8" s="243"/>
      <c r="I8" s="243"/>
      <c r="J8" s="243"/>
      <c r="K8" s="243"/>
      <c r="L8" s="154">
        <f>L112</f>
        <v>0</v>
      </c>
      <c r="M8" s="154">
        <f>M112</f>
        <v>0</v>
      </c>
      <c r="N8" s="152"/>
    </row>
    <row r="9" spans="1:14" ht="18.5" x14ac:dyDescent="0.35">
      <c r="A9" s="457" t="s">
        <v>56</v>
      </c>
      <c r="B9" s="458"/>
      <c r="C9" s="458"/>
      <c r="D9" s="458"/>
      <c r="E9" s="458"/>
      <c r="F9" s="458"/>
      <c r="G9" s="458"/>
      <c r="H9" s="243"/>
      <c r="I9" s="243"/>
      <c r="J9" s="243"/>
      <c r="K9" s="243"/>
      <c r="L9" s="154">
        <f>L139</f>
        <v>0</v>
      </c>
      <c r="M9" s="154">
        <f>M139</f>
        <v>0</v>
      </c>
      <c r="N9" s="152"/>
    </row>
    <row r="10" spans="1:14" ht="19" thickBot="1" x14ac:dyDescent="0.4">
      <c r="A10" s="457" t="s">
        <v>57</v>
      </c>
      <c r="B10" s="458"/>
      <c r="C10" s="458"/>
      <c r="D10" s="458"/>
      <c r="E10" s="458"/>
      <c r="F10" s="458"/>
      <c r="G10" s="458"/>
      <c r="H10" s="243"/>
      <c r="I10" s="243"/>
      <c r="J10" s="243"/>
      <c r="K10" s="243"/>
      <c r="L10" s="154">
        <f>L150</f>
        <v>0</v>
      </c>
      <c r="M10" s="154">
        <f>M150</f>
        <v>0</v>
      </c>
      <c r="N10" s="152"/>
    </row>
    <row r="11" spans="1:14" ht="26.5" thickBot="1" x14ac:dyDescent="0.4">
      <c r="A11" s="465" t="s">
        <v>465</v>
      </c>
      <c r="B11" s="458"/>
      <c r="C11" s="458"/>
      <c r="D11" s="458"/>
      <c r="E11" s="458"/>
      <c r="F11" s="458"/>
      <c r="G11" s="458"/>
      <c r="H11" s="458"/>
      <c r="I11" s="458"/>
      <c r="J11" s="458"/>
      <c r="K11" s="466"/>
      <c r="L11" s="155">
        <f>SUM(L5:L10)</f>
        <v>0</v>
      </c>
      <c r="M11" s="155">
        <f>SUM(M5:M10)</f>
        <v>0</v>
      </c>
      <c r="N11" s="152"/>
    </row>
    <row r="12" spans="1:14" ht="26" x14ac:dyDescent="0.35">
      <c r="A12" s="246"/>
      <c r="B12" s="247"/>
      <c r="C12" s="248"/>
      <c r="D12" s="248"/>
      <c r="E12" s="248"/>
      <c r="F12" s="248"/>
      <c r="G12" s="248"/>
      <c r="H12" s="248"/>
      <c r="I12" s="248"/>
      <c r="J12" s="248"/>
      <c r="K12" s="248"/>
    </row>
    <row r="13" spans="1:14" ht="19" thickBot="1" x14ac:dyDescent="0.4">
      <c r="A13" s="248"/>
      <c r="B13" s="269"/>
      <c r="C13" s="270"/>
      <c r="D13" s="270"/>
      <c r="E13" s="271"/>
      <c r="F13" s="271"/>
      <c r="G13" s="271"/>
      <c r="H13" s="248"/>
      <c r="I13" s="248"/>
      <c r="J13" s="248"/>
      <c r="K13" s="248"/>
    </row>
    <row r="14" spans="1:14" s="1" customFormat="1" ht="30.75" customHeight="1" thickBot="1" x14ac:dyDescent="0.4">
      <c r="A14" s="27" t="s">
        <v>25</v>
      </c>
      <c r="B14" s="27" t="s">
        <v>26</v>
      </c>
      <c r="C14" s="464" t="s">
        <v>27</v>
      </c>
      <c r="D14" s="460"/>
      <c r="E14" s="5"/>
      <c r="F14" s="459" t="s">
        <v>11</v>
      </c>
      <c r="G14" s="460"/>
      <c r="H14" s="4" t="s">
        <v>48</v>
      </c>
      <c r="I14" s="4" t="s">
        <v>0</v>
      </c>
      <c r="J14" s="4" t="s">
        <v>1</v>
      </c>
      <c r="K14" s="4" t="s">
        <v>2</v>
      </c>
      <c r="L14" s="4" t="s">
        <v>7</v>
      </c>
      <c r="M14" s="4" t="s">
        <v>8</v>
      </c>
      <c r="N14" s="4" t="s">
        <v>3</v>
      </c>
    </row>
    <row r="15" spans="1:14" s="204" customFormat="1" ht="15" customHeight="1" thickBot="1" x14ac:dyDescent="0.4">
      <c r="A15" s="285"/>
      <c r="B15" s="286"/>
      <c r="C15" s="287"/>
      <c r="D15" s="287"/>
      <c r="E15" s="271"/>
      <c r="F15" s="288"/>
      <c r="G15" s="288"/>
      <c r="H15" s="288"/>
      <c r="I15" s="288"/>
      <c r="J15" s="288"/>
      <c r="K15" s="288"/>
      <c r="L15" s="288"/>
      <c r="M15" s="288"/>
      <c r="N15" s="288"/>
    </row>
    <row r="16" spans="1:14" ht="18.5" x14ac:dyDescent="0.35">
      <c r="A16" s="469" t="s">
        <v>41</v>
      </c>
      <c r="B16" s="55"/>
      <c r="C16" s="45"/>
      <c r="D16" s="45"/>
      <c r="E16" s="46"/>
      <c r="F16" s="47"/>
      <c r="G16" s="47"/>
      <c r="H16" s="44"/>
      <c r="I16" s="48"/>
      <c r="J16" s="92"/>
      <c r="K16" s="49"/>
      <c r="L16" s="49"/>
      <c r="M16" s="49"/>
      <c r="N16" s="146"/>
    </row>
    <row r="17" spans="1:14" ht="29" x14ac:dyDescent="0.35">
      <c r="A17" s="470"/>
      <c r="B17" s="57">
        <v>129</v>
      </c>
      <c r="C17" s="35" t="s">
        <v>9</v>
      </c>
      <c r="D17" s="35" t="s">
        <v>264</v>
      </c>
      <c r="E17" s="38"/>
      <c r="F17" s="39" t="s">
        <v>203</v>
      </c>
      <c r="G17" s="12"/>
      <c r="H17" s="88" t="s">
        <v>558</v>
      </c>
      <c r="I17" s="68" t="s">
        <v>4</v>
      </c>
      <c r="J17" s="95">
        <f>2.6*1.89</f>
        <v>4.9139999999999997</v>
      </c>
      <c r="K17" s="312">
        <v>0</v>
      </c>
      <c r="L17" s="141"/>
      <c r="M17" s="69">
        <f>K17*J17</f>
        <v>0</v>
      </c>
      <c r="N17" s="148"/>
    </row>
    <row r="18" spans="1:14" ht="21" x14ac:dyDescent="0.35">
      <c r="A18" s="470"/>
      <c r="B18" s="249"/>
      <c r="C18" s="259"/>
      <c r="D18" s="259"/>
      <c r="E18" s="284"/>
      <c r="F18" s="265"/>
      <c r="G18" s="299"/>
      <c r="H18" s="88" t="s">
        <v>559</v>
      </c>
      <c r="I18" s="68" t="s">
        <v>4</v>
      </c>
      <c r="J18" s="95">
        <f>4.8*2.4+4.86*2.4</f>
        <v>23.183999999999997</v>
      </c>
      <c r="K18" s="312">
        <v>0</v>
      </c>
      <c r="L18" s="141"/>
      <c r="M18" s="69">
        <f>K18*J18</f>
        <v>0</v>
      </c>
      <c r="N18" s="148"/>
    </row>
    <row r="19" spans="1:14" ht="21" x14ac:dyDescent="0.35">
      <c r="A19" s="470"/>
      <c r="B19" s="56"/>
      <c r="C19" s="18"/>
      <c r="D19" s="18"/>
      <c r="E19" s="7"/>
      <c r="F19" s="25"/>
      <c r="G19" s="12"/>
      <c r="H19" s="103"/>
      <c r="I19" s="68"/>
      <c r="J19" s="95"/>
      <c r="K19" s="69"/>
      <c r="L19" s="69"/>
      <c r="M19" s="69"/>
      <c r="N19" s="148"/>
    </row>
    <row r="20" spans="1:14" ht="29" x14ac:dyDescent="0.35">
      <c r="A20" s="470"/>
      <c r="B20" s="57">
        <v>130</v>
      </c>
      <c r="C20" s="35" t="s">
        <v>9</v>
      </c>
      <c r="D20" s="35" t="s">
        <v>265</v>
      </c>
      <c r="E20" s="40"/>
      <c r="F20" s="39" t="s">
        <v>96</v>
      </c>
      <c r="G20" s="13"/>
      <c r="H20" s="88" t="s">
        <v>560</v>
      </c>
      <c r="I20" s="68" t="s">
        <v>4</v>
      </c>
      <c r="J20" s="95">
        <f>2.6*(0.6+3.63+0.655)</f>
        <v>12.701000000000001</v>
      </c>
      <c r="K20" s="312">
        <v>0</v>
      </c>
      <c r="L20" s="141"/>
      <c r="M20" s="69">
        <f>K20*J20</f>
        <v>0</v>
      </c>
      <c r="N20" s="148"/>
    </row>
    <row r="21" spans="1:14" ht="21" x14ac:dyDescent="0.35">
      <c r="A21" s="470"/>
      <c r="B21" s="56"/>
      <c r="C21" s="18"/>
      <c r="D21" s="18"/>
      <c r="E21" s="7"/>
      <c r="F21" s="25"/>
      <c r="G21" s="12"/>
      <c r="H21" s="103"/>
      <c r="I21" s="68"/>
      <c r="J21" s="95"/>
      <c r="K21" s="69"/>
      <c r="L21" s="69"/>
      <c r="M21" s="69"/>
      <c r="N21" s="148"/>
    </row>
    <row r="22" spans="1:14" ht="18.5" x14ac:dyDescent="0.35">
      <c r="A22" s="470"/>
      <c r="B22" s="57">
        <v>131</v>
      </c>
      <c r="C22" s="35" t="s">
        <v>9</v>
      </c>
      <c r="D22" s="35" t="s">
        <v>267</v>
      </c>
      <c r="E22" s="40"/>
      <c r="F22" s="39" t="s">
        <v>37</v>
      </c>
      <c r="G22" s="13"/>
      <c r="H22" s="103" t="s">
        <v>545</v>
      </c>
      <c r="I22" s="68" t="s">
        <v>6</v>
      </c>
      <c r="J22" s="95">
        <v>1</v>
      </c>
      <c r="K22" s="312">
        <v>0</v>
      </c>
      <c r="L22" s="141"/>
      <c r="M22" s="69">
        <f>K22*J22</f>
        <v>0</v>
      </c>
      <c r="N22" s="148"/>
    </row>
    <row r="23" spans="1:14" ht="18.5" x14ac:dyDescent="0.35">
      <c r="A23" s="470"/>
      <c r="B23" s="71"/>
      <c r="C23" s="72"/>
      <c r="D23" s="72"/>
      <c r="E23" s="8"/>
      <c r="F23" s="13"/>
      <c r="G23" s="13"/>
      <c r="H23" s="141"/>
      <c r="I23" s="68"/>
      <c r="J23" s="95"/>
      <c r="K23" s="69"/>
      <c r="L23" s="69"/>
      <c r="M23" s="69"/>
      <c r="N23" s="148"/>
    </row>
    <row r="24" spans="1:14" ht="18.5" x14ac:dyDescent="0.35">
      <c r="A24" s="470"/>
      <c r="B24" s="57">
        <v>132</v>
      </c>
      <c r="C24" s="35" t="s">
        <v>9</v>
      </c>
      <c r="D24" s="35" t="s">
        <v>266</v>
      </c>
      <c r="E24" s="40"/>
      <c r="F24" s="39" t="s">
        <v>144</v>
      </c>
      <c r="G24" s="13"/>
      <c r="H24" s="103" t="s">
        <v>531</v>
      </c>
      <c r="I24" s="68" t="s">
        <v>4</v>
      </c>
      <c r="J24" s="95">
        <f>1.8*(0.655+1.09)</f>
        <v>3.1410000000000005</v>
      </c>
      <c r="K24" s="312">
        <v>0</v>
      </c>
      <c r="L24" s="69">
        <f>K24*J24</f>
        <v>0</v>
      </c>
      <c r="M24" s="312">
        <v>0</v>
      </c>
      <c r="N24" s="148"/>
    </row>
    <row r="25" spans="1:14" ht="19" thickBot="1" x14ac:dyDescent="0.4">
      <c r="A25" s="470"/>
      <c r="B25" s="56"/>
      <c r="C25" s="20"/>
      <c r="D25" s="20"/>
      <c r="E25" s="8"/>
      <c r="F25" s="26"/>
      <c r="G25" s="13"/>
      <c r="H25" s="103"/>
      <c r="I25" s="68"/>
      <c r="J25" s="95"/>
      <c r="K25" s="69"/>
      <c r="L25" s="69"/>
      <c r="M25" s="69"/>
      <c r="N25" s="148"/>
    </row>
    <row r="26" spans="1:14" ht="19" thickBot="1" x14ac:dyDescent="0.4">
      <c r="A26" s="470"/>
      <c r="B26" s="453" t="s">
        <v>13</v>
      </c>
      <c r="C26" s="454"/>
      <c r="D26" s="454"/>
      <c r="E26" s="454"/>
      <c r="F26" s="454"/>
      <c r="G26" s="140"/>
      <c r="H26" s="140" t="s">
        <v>459</v>
      </c>
      <c r="I26" s="50"/>
      <c r="J26" s="94"/>
      <c r="K26" s="51"/>
      <c r="L26" s="52">
        <f>SUM(L17:L24)</f>
        <v>0</v>
      </c>
      <c r="M26" s="53">
        <f>SUM(M17:M24)</f>
        <v>0</v>
      </c>
      <c r="N26" s="148"/>
    </row>
    <row r="27" spans="1:14" ht="19" thickBot="1" x14ac:dyDescent="0.4">
      <c r="A27" s="470"/>
      <c r="B27" s="58"/>
      <c r="C27" s="21"/>
      <c r="D27" s="21"/>
      <c r="E27" s="14"/>
      <c r="F27" s="15"/>
      <c r="G27" s="15"/>
      <c r="H27" s="16"/>
      <c r="I27" s="17"/>
      <c r="J27" s="96"/>
      <c r="K27" s="277"/>
      <c r="L27" s="278"/>
      <c r="M27" s="276"/>
      <c r="N27" s="148"/>
    </row>
    <row r="28" spans="1:14" x14ac:dyDescent="0.35">
      <c r="A28" s="469" t="s">
        <v>40</v>
      </c>
      <c r="B28" s="56"/>
      <c r="C28" s="8"/>
      <c r="D28" s="8"/>
      <c r="E28" s="8"/>
      <c r="F28" s="8"/>
      <c r="G28" s="8"/>
      <c r="H28" s="141"/>
      <c r="I28" s="141"/>
      <c r="J28" s="162"/>
      <c r="K28" s="141"/>
      <c r="L28" s="141"/>
      <c r="M28" s="141"/>
      <c r="N28" s="146"/>
    </row>
    <row r="29" spans="1:14" ht="18.5" x14ac:dyDescent="0.35">
      <c r="A29" s="470"/>
      <c r="B29" s="57">
        <v>133</v>
      </c>
      <c r="C29" s="35" t="s">
        <v>14</v>
      </c>
      <c r="D29" s="35" t="s">
        <v>264</v>
      </c>
      <c r="E29" s="40"/>
      <c r="F29" s="160" t="s">
        <v>32</v>
      </c>
      <c r="G29" s="161" t="s">
        <v>17</v>
      </c>
      <c r="H29" s="103" t="s">
        <v>475</v>
      </c>
      <c r="I29" s="68" t="s">
        <v>5</v>
      </c>
      <c r="J29" s="95">
        <f>1.78*2+0.83*2</f>
        <v>5.22</v>
      </c>
      <c r="K29" s="312">
        <v>0</v>
      </c>
      <c r="L29" s="69">
        <f>K29*J29</f>
        <v>0</v>
      </c>
      <c r="M29" s="312">
        <v>0</v>
      </c>
      <c r="N29" s="148"/>
    </row>
    <row r="30" spans="1:14" ht="18.5" x14ac:dyDescent="0.35">
      <c r="A30" s="470"/>
      <c r="B30" s="56"/>
      <c r="C30" s="20"/>
      <c r="D30" s="20"/>
      <c r="E30" s="8"/>
      <c r="F30" s="13"/>
      <c r="G30" s="161"/>
      <c r="H30" s="103" t="s">
        <v>476</v>
      </c>
      <c r="I30" s="68" t="s">
        <v>5</v>
      </c>
      <c r="J30" s="95">
        <f>3*0.75</f>
        <v>2.25</v>
      </c>
      <c r="K30" s="312">
        <v>0</v>
      </c>
      <c r="L30" s="69">
        <f>K30*J30</f>
        <v>0</v>
      </c>
      <c r="M30" s="312">
        <v>0</v>
      </c>
      <c r="N30" s="148"/>
    </row>
    <row r="31" spans="1:14" x14ac:dyDescent="0.35">
      <c r="A31" s="470"/>
      <c r="B31" s="56"/>
      <c r="C31" s="8"/>
      <c r="D31" s="8"/>
      <c r="E31" s="8"/>
      <c r="F31" s="13"/>
      <c r="G31" s="161"/>
      <c r="H31" s="103" t="s">
        <v>705</v>
      </c>
      <c r="I31" s="68" t="s">
        <v>5</v>
      </c>
      <c r="J31" s="95">
        <f>3*0.75*0.03</f>
        <v>6.7500000000000004E-2</v>
      </c>
      <c r="K31" s="312">
        <v>0</v>
      </c>
      <c r="L31" s="69">
        <f>K31*J31</f>
        <v>0</v>
      </c>
      <c r="M31" s="312">
        <v>0</v>
      </c>
      <c r="N31" s="148"/>
    </row>
    <row r="32" spans="1:14" x14ac:dyDescent="0.35">
      <c r="A32" s="470"/>
      <c r="B32" s="56"/>
      <c r="C32" s="8"/>
      <c r="D32" s="8"/>
      <c r="E32" s="8"/>
      <c r="F32" s="13"/>
      <c r="G32" s="161"/>
      <c r="H32" s="103"/>
      <c r="I32" s="68"/>
      <c r="J32" s="95"/>
      <c r="K32" s="69"/>
      <c r="L32" s="69"/>
      <c r="M32" s="69"/>
      <c r="N32" s="148"/>
    </row>
    <row r="33" spans="1:14" x14ac:dyDescent="0.35">
      <c r="A33" s="470"/>
      <c r="B33" s="56"/>
      <c r="C33" s="8"/>
      <c r="D33" s="8"/>
      <c r="E33" s="8"/>
      <c r="F33" s="13"/>
      <c r="G33" s="161" t="s">
        <v>18</v>
      </c>
      <c r="H33" s="103" t="s">
        <v>498</v>
      </c>
      <c r="I33" s="68" t="s">
        <v>4</v>
      </c>
      <c r="J33" s="95">
        <f>J29*2*0.04*3+0.5</f>
        <v>1.7527999999999999</v>
      </c>
      <c r="K33" s="312">
        <v>0</v>
      </c>
      <c r="L33" s="69">
        <f>K33*J33</f>
        <v>0</v>
      </c>
      <c r="M33" s="312">
        <v>0</v>
      </c>
      <c r="N33" s="148" t="s">
        <v>519</v>
      </c>
    </row>
    <row r="34" spans="1:14" x14ac:dyDescent="0.35">
      <c r="A34" s="470"/>
      <c r="B34" s="56"/>
      <c r="C34" s="8"/>
      <c r="D34" s="8"/>
      <c r="E34" s="8"/>
      <c r="F34" s="13"/>
      <c r="G34" s="161"/>
      <c r="H34" s="103"/>
      <c r="I34" s="68"/>
      <c r="J34" s="95"/>
      <c r="K34" s="69"/>
      <c r="L34" s="69"/>
      <c r="M34" s="69"/>
      <c r="N34" s="148"/>
    </row>
    <row r="35" spans="1:14" x14ac:dyDescent="0.35">
      <c r="A35" s="470"/>
      <c r="B35" s="56"/>
      <c r="C35" s="8"/>
      <c r="D35" s="8"/>
      <c r="E35" s="8"/>
      <c r="F35" s="13"/>
      <c r="G35" s="161" t="s">
        <v>19</v>
      </c>
      <c r="H35" s="103" t="s">
        <v>770</v>
      </c>
      <c r="I35" s="68" t="s">
        <v>4</v>
      </c>
      <c r="J35" s="95">
        <f>0.79*0.79</f>
        <v>0.6241000000000001</v>
      </c>
      <c r="K35" s="312">
        <v>0</v>
      </c>
      <c r="L35" s="69">
        <f>K35*J35</f>
        <v>0</v>
      </c>
      <c r="M35" s="312">
        <v>0</v>
      </c>
      <c r="N35" s="148"/>
    </row>
    <row r="36" spans="1:14" x14ac:dyDescent="0.35">
      <c r="A36" s="470"/>
      <c r="B36" s="56"/>
      <c r="C36" s="8"/>
      <c r="D36" s="8"/>
      <c r="E36" s="8"/>
      <c r="F36" s="13"/>
      <c r="G36" s="13"/>
      <c r="H36" s="103"/>
      <c r="I36" s="68"/>
      <c r="J36" s="95"/>
      <c r="K36" s="69"/>
      <c r="L36" s="69"/>
      <c r="M36" s="69"/>
      <c r="N36" s="148"/>
    </row>
    <row r="37" spans="1:14" ht="15.5" x14ac:dyDescent="0.35">
      <c r="A37" s="470"/>
      <c r="B37" s="76"/>
      <c r="C37" s="77"/>
      <c r="D37" s="77"/>
      <c r="E37" s="77"/>
      <c r="F37" s="30"/>
      <c r="G37" s="31"/>
      <c r="H37" s="32" t="s">
        <v>459</v>
      </c>
      <c r="I37" s="33"/>
      <c r="J37" s="98"/>
      <c r="K37" s="34"/>
      <c r="L37" s="137">
        <f>SUM(L29:L35)</f>
        <v>0</v>
      </c>
      <c r="M37" s="137">
        <f>SUM(M29:M35)</f>
        <v>0</v>
      </c>
      <c r="N37" s="148"/>
    </row>
    <row r="38" spans="1:14" ht="18.75" customHeight="1" x14ac:dyDescent="0.35">
      <c r="A38" s="470"/>
      <c r="B38" s="56"/>
      <c r="C38" s="20"/>
      <c r="D38" s="20"/>
      <c r="E38" s="8"/>
      <c r="F38" s="13"/>
      <c r="G38" s="13"/>
      <c r="H38" s="141"/>
      <c r="I38" s="68"/>
      <c r="J38" s="95"/>
      <c r="K38" s="69"/>
      <c r="L38" s="69"/>
      <c r="M38" s="69"/>
      <c r="N38" s="148"/>
    </row>
    <row r="39" spans="1:14" ht="18.75" customHeight="1" x14ac:dyDescent="0.35">
      <c r="A39" s="470"/>
      <c r="B39" s="57">
        <v>134</v>
      </c>
      <c r="C39" s="35" t="s">
        <v>14</v>
      </c>
      <c r="D39" s="35" t="s">
        <v>265</v>
      </c>
      <c r="E39" s="40"/>
      <c r="F39" s="160" t="s">
        <v>271</v>
      </c>
      <c r="G39" s="161" t="s">
        <v>16</v>
      </c>
      <c r="H39" s="103" t="s">
        <v>456</v>
      </c>
      <c r="I39" s="68" t="s">
        <v>4</v>
      </c>
      <c r="J39" s="95">
        <f>2.3*1.7+0.08*2*2.3+4*1.7</f>
        <v>11.077999999999999</v>
      </c>
      <c r="K39" s="312">
        <v>0</v>
      </c>
      <c r="L39" s="69">
        <f>K39*J39</f>
        <v>0</v>
      </c>
      <c r="M39" s="312">
        <v>0</v>
      </c>
      <c r="N39" s="148"/>
    </row>
    <row r="40" spans="1:14" ht="18.75" customHeight="1" x14ac:dyDescent="0.35">
      <c r="A40" s="470"/>
      <c r="B40" s="249"/>
      <c r="C40" s="259"/>
      <c r="D40" s="259"/>
      <c r="E40" s="251"/>
      <c r="F40" s="241"/>
      <c r="G40" s="161"/>
      <c r="H40" s="103" t="s">
        <v>489</v>
      </c>
      <c r="I40" s="68" t="s">
        <v>4</v>
      </c>
      <c r="J40" s="95">
        <f>(2.6*(0.72+0.91+1.7+1.515+0.72+0.675+0.675))+1.7*0.675</f>
        <v>19.1265</v>
      </c>
      <c r="K40" s="312">
        <v>0</v>
      </c>
      <c r="L40" s="69">
        <f>K40*J40</f>
        <v>0</v>
      </c>
      <c r="M40" s="312">
        <v>0</v>
      </c>
      <c r="N40" s="148"/>
    </row>
    <row r="41" spans="1:14" ht="18.5" x14ac:dyDescent="0.35">
      <c r="A41" s="470"/>
      <c r="B41" s="249"/>
      <c r="C41" s="250"/>
      <c r="D41" s="250"/>
      <c r="E41" s="251"/>
      <c r="F41" s="217"/>
      <c r="G41" s="161"/>
      <c r="H41" s="103"/>
      <c r="I41" s="68"/>
      <c r="J41" s="95"/>
      <c r="K41" s="69"/>
      <c r="L41" s="69"/>
      <c r="M41" s="69"/>
      <c r="N41" s="148"/>
    </row>
    <row r="42" spans="1:14" ht="29" x14ac:dyDescent="0.35">
      <c r="A42" s="470"/>
      <c r="B42" s="56"/>
      <c r="C42" s="8"/>
      <c r="D42" s="8"/>
      <c r="E42" s="8"/>
      <c r="F42" s="13"/>
      <c r="G42" s="161" t="s">
        <v>268</v>
      </c>
      <c r="H42" s="103" t="s">
        <v>561</v>
      </c>
      <c r="I42" s="68" t="s">
        <v>6</v>
      </c>
      <c r="J42" s="95">
        <v>0</v>
      </c>
      <c r="K42" s="312">
        <v>0</v>
      </c>
      <c r="L42" s="69">
        <f>K42*J42</f>
        <v>0</v>
      </c>
      <c r="M42" s="317">
        <v>0</v>
      </c>
      <c r="N42" s="148" t="s">
        <v>443</v>
      </c>
    </row>
    <row r="43" spans="1:14" x14ac:dyDescent="0.35">
      <c r="A43" s="470"/>
      <c r="B43" s="56"/>
      <c r="C43" s="8"/>
      <c r="D43" s="8"/>
      <c r="E43" s="8"/>
      <c r="F43" s="13"/>
      <c r="G43" s="161"/>
      <c r="H43" s="103"/>
      <c r="I43" s="68"/>
      <c r="J43" s="95"/>
      <c r="K43" s="69"/>
      <c r="L43" s="69"/>
      <c r="M43" s="69"/>
      <c r="N43" s="148"/>
    </row>
    <row r="44" spans="1:14" x14ac:dyDescent="0.35">
      <c r="A44" s="470"/>
      <c r="B44" s="56"/>
      <c r="C44" s="8"/>
      <c r="D44" s="8"/>
      <c r="E44" s="8"/>
      <c r="F44" s="13"/>
      <c r="G44" s="161" t="s">
        <v>18</v>
      </c>
      <c r="H44" s="103" t="s">
        <v>269</v>
      </c>
      <c r="I44" s="68" t="s">
        <v>4</v>
      </c>
      <c r="J44" s="95">
        <f>(2.6*(0.72+0.91+1.7+1.515+0.72))</f>
        <v>14.468999999999999</v>
      </c>
      <c r="K44" s="312">
        <v>0</v>
      </c>
      <c r="L44" s="69">
        <f>K44*J44</f>
        <v>0</v>
      </c>
      <c r="M44" s="312">
        <v>0</v>
      </c>
      <c r="N44" s="148"/>
    </row>
    <row r="45" spans="1:14" x14ac:dyDescent="0.35">
      <c r="A45" s="470"/>
      <c r="B45" s="56"/>
      <c r="C45" s="8"/>
      <c r="D45" s="8"/>
      <c r="E45" s="8"/>
      <c r="F45" s="13"/>
      <c r="G45" s="161"/>
      <c r="H45" s="103" t="s">
        <v>149</v>
      </c>
      <c r="I45" s="68" t="s">
        <v>4</v>
      </c>
      <c r="J45" s="95">
        <f>2.3*1.7+0.08*2*2.3+1*1.7+(1.5*(0.675+0.675+1.7))+1.7*0.675</f>
        <v>11.700499999999998</v>
      </c>
      <c r="K45" s="312">
        <v>0</v>
      </c>
      <c r="L45" s="69">
        <f>K45*J45</f>
        <v>0</v>
      </c>
      <c r="M45" s="312">
        <v>0</v>
      </c>
      <c r="N45" s="148" t="s">
        <v>519</v>
      </c>
    </row>
    <row r="46" spans="1:14" x14ac:dyDescent="0.35">
      <c r="A46" s="470"/>
      <c r="B46" s="56"/>
      <c r="C46" s="8"/>
      <c r="D46" s="8"/>
      <c r="E46" s="8"/>
      <c r="F46" s="13"/>
      <c r="G46" s="161"/>
      <c r="H46" s="103"/>
      <c r="I46" s="68"/>
      <c r="J46" s="95"/>
      <c r="K46" s="69"/>
      <c r="L46" s="69"/>
      <c r="M46" s="69"/>
      <c r="N46" s="148"/>
    </row>
    <row r="47" spans="1:14" ht="29" x14ac:dyDescent="0.35">
      <c r="A47" s="470"/>
      <c r="B47" s="56"/>
      <c r="C47" s="8"/>
      <c r="D47" s="8"/>
      <c r="E47" s="8"/>
      <c r="F47" s="13"/>
      <c r="G47" s="161" t="s">
        <v>19</v>
      </c>
      <c r="H47" s="88" t="s">
        <v>771</v>
      </c>
      <c r="I47" s="68" t="s">
        <v>4</v>
      </c>
      <c r="J47" s="95">
        <f>1.72*1.635+1.5*(1.7+2*1.635)</f>
        <v>10.267199999999999</v>
      </c>
      <c r="K47" s="312">
        <v>0</v>
      </c>
      <c r="L47" s="69">
        <f>K47*J47</f>
        <v>0</v>
      </c>
      <c r="M47" s="312">
        <v>0</v>
      </c>
      <c r="N47" s="148" t="s">
        <v>726</v>
      </c>
    </row>
    <row r="48" spans="1:14" x14ac:dyDescent="0.35">
      <c r="A48" s="470"/>
      <c r="B48" s="56"/>
      <c r="C48" s="8"/>
      <c r="D48" s="8"/>
      <c r="E48" s="8"/>
      <c r="F48" s="13"/>
      <c r="G48" s="161"/>
      <c r="H48" s="103"/>
      <c r="I48" s="68"/>
      <c r="J48" s="95"/>
      <c r="K48" s="69"/>
      <c r="L48" s="69"/>
      <c r="M48" s="69"/>
      <c r="N48" s="148"/>
    </row>
    <row r="49" spans="1:14" x14ac:dyDescent="0.35">
      <c r="A49" s="470"/>
      <c r="B49" s="56"/>
      <c r="C49" s="8"/>
      <c r="D49" s="8"/>
      <c r="E49" s="8"/>
      <c r="F49" s="13"/>
      <c r="G49" s="13" t="s">
        <v>28</v>
      </c>
      <c r="H49" s="103" t="s">
        <v>29</v>
      </c>
      <c r="I49" s="68" t="s">
        <v>6</v>
      </c>
      <c r="J49" s="95">
        <v>2</v>
      </c>
      <c r="K49" s="312">
        <v>0</v>
      </c>
      <c r="L49" s="69">
        <f>K49*J49</f>
        <v>0</v>
      </c>
      <c r="M49" s="312">
        <v>0</v>
      </c>
      <c r="N49" s="148"/>
    </row>
    <row r="50" spans="1:14" x14ac:dyDescent="0.35">
      <c r="A50" s="470"/>
      <c r="B50" s="56"/>
      <c r="C50" s="8"/>
      <c r="D50" s="8"/>
      <c r="E50" s="8"/>
      <c r="F50" s="13"/>
      <c r="G50" s="13"/>
      <c r="H50" s="103" t="s">
        <v>153</v>
      </c>
      <c r="I50" s="68" t="s">
        <v>6</v>
      </c>
      <c r="J50" s="95">
        <v>1</v>
      </c>
      <c r="K50" s="312">
        <v>0</v>
      </c>
      <c r="L50" s="69">
        <f>K50*J50</f>
        <v>0</v>
      </c>
      <c r="M50" s="312">
        <v>0</v>
      </c>
      <c r="N50" s="148"/>
    </row>
    <row r="51" spans="1:14" x14ac:dyDescent="0.35">
      <c r="A51" s="470"/>
      <c r="B51" s="56"/>
      <c r="C51" s="8"/>
      <c r="D51" s="8"/>
      <c r="E51" s="8"/>
      <c r="F51" s="13"/>
      <c r="G51" s="13"/>
      <c r="H51" s="103"/>
      <c r="I51" s="68"/>
      <c r="J51" s="95"/>
      <c r="K51" s="69"/>
      <c r="L51" s="69"/>
      <c r="M51" s="69"/>
      <c r="N51" s="148"/>
    </row>
    <row r="52" spans="1:14" ht="15.5" x14ac:dyDescent="0.35">
      <c r="A52" s="470"/>
      <c r="B52" s="76"/>
      <c r="C52" s="77"/>
      <c r="D52" s="77"/>
      <c r="E52" s="77"/>
      <c r="F52" s="30"/>
      <c r="G52" s="31"/>
      <c r="H52" s="32" t="s">
        <v>459</v>
      </c>
      <c r="I52" s="33"/>
      <c r="J52" s="98"/>
      <c r="K52" s="34"/>
      <c r="L52" s="137">
        <f>SUM(L39:L50)</f>
        <v>0</v>
      </c>
      <c r="M52" s="137">
        <f>SUM(M39:M50)</f>
        <v>0</v>
      </c>
      <c r="N52" s="148"/>
    </row>
    <row r="53" spans="1:14" ht="18.75" customHeight="1" x14ac:dyDescent="0.35">
      <c r="A53" s="470"/>
      <c r="B53" s="56"/>
      <c r="C53" s="20"/>
      <c r="D53" s="20"/>
      <c r="E53" s="8"/>
      <c r="F53" s="13"/>
      <c r="G53" s="13"/>
      <c r="H53" s="141"/>
      <c r="I53" s="68"/>
      <c r="J53" s="95"/>
      <c r="K53" s="69"/>
      <c r="L53" s="69"/>
      <c r="M53" s="69"/>
      <c r="N53" s="148"/>
    </row>
    <row r="54" spans="1:14" ht="18.75" customHeight="1" x14ac:dyDescent="0.35">
      <c r="A54" s="470"/>
      <c r="B54" s="57">
        <v>135</v>
      </c>
      <c r="C54" s="35" t="s">
        <v>14</v>
      </c>
      <c r="D54" s="35" t="s">
        <v>267</v>
      </c>
      <c r="E54" s="40"/>
      <c r="F54" s="160" t="s">
        <v>272</v>
      </c>
      <c r="G54" s="161" t="s">
        <v>16</v>
      </c>
      <c r="H54" s="103" t="s">
        <v>456</v>
      </c>
      <c r="I54" s="68" t="s">
        <v>4</v>
      </c>
      <c r="J54" s="95">
        <f>1.6*0.58+1.6*0.038*2*2+0.58*2*0.038*2+1.5*2+2*1.05*1.6+2*1.05*0.58</f>
        <v>8.8373600000000003</v>
      </c>
      <c r="K54" s="312">
        <v>0</v>
      </c>
      <c r="L54" s="69">
        <f>K54*J54</f>
        <v>0</v>
      </c>
      <c r="M54" s="312">
        <v>0</v>
      </c>
      <c r="N54" s="148"/>
    </row>
    <row r="55" spans="1:14" ht="18.75" customHeight="1" x14ac:dyDescent="0.35">
      <c r="A55" s="470"/>
      <c r="B55" s="249"/>
      <c r="C55" s="259"/>
      <c r="D55" s="259"/>
      <c r="E55" s="251"/>
      <c r="F55" s="241"/>
      <c r="G55" s="161"/>
      <c r="H55" s="103" t="s">
        <v>489</v>
      </c>
      <c r="I55" s="68" t="s">
        <v>4</v>
      </c>
      <c r="J55" s="95">
        <f>2.6*1.89*2+2.6*0.765</f>
        <v>11.817</v>
      </c>
      <c r="K55" s="312">
        <v>0</v>
      </c>
      <c r="L55" s="69">
        <f>K55*J55</f>
        <v>0</v>
      </c>
      <c r="M55" s="312">
        <v>0</v>
      </c>
      <c r="N55" s="148"/>
    </row>
    <row r="56" spans="1:14" ht="18.5" x14ac:dyDescent="0.35">
      <c r="A56" s="470"/>
      <c r="B56" s="249"/>
      <c r="C56" s="250"/>
      <c r="D56" s="250"/>
      <c r="E56" s="251"/>
      <c r="F56" s="217"/>
      <c r="G56" s="161"/>
      <c r="H56" s="103"/>
      <c r="I56" s="68"/>
      <c r="J56" s="95"/>
      <c r="K56" s="69"/>
      <c r="L56" s="69"/>
      <c r="M56" s="69"/>
      <c r="N56" s="148"/>
    </row>
    <row r="57" spans="1:14" ht="29" x14ac:dyDescent="0.35">
      <c r="A57" s="470"/>
      <c r="B57" s="56"/>
      <c r="C57" s="8"/>
      <c r="D57" s="8"/>
      <c r="E57" s="8"/>
      <c r="F57" s="13"/>
      <c r="G57" s="161" t="s">
        <v>268</v>
      </c>
      <c r="H57" s="103" t="s">
        <v>561</v>
      </c>
      <c r="I57" s="68" t="s">
        <v>6</v>
      </c>
      <c r="J57" s="95">
        <v>0</v>
      </c>
      <c r="K57" s="312">
        <v>0</v>
      </c>
      <c r="L57" s="69">
        <f>K57*J57</f>
        <v>0</v>
      </c>
      <c r="M57" s="312">
        <v>0</v>
      </c>
      <c r="N57" s="148" t="s">
        <v>443</v>
      </c>
    </row>
    <row r="58" spans="1:14" x14ac:dyDescent="0.35">
      <c r="A58" s="470"/>
      <c r="B58" s="56"/>
      <c r="C58" s="8"/>
      <c r="D58" s="8"/>
      <c r="E58" s="8"/>
      <c r="F58" s="13"/>
      <c r="G58" s="161"/>
      <c r="H58" s="103"/>
      <c r="I58" s="68"/>
      <c r="J58" s="95"/>
      <c r="K58" s="69"/>
      <c r="L58" s="69"/>
      <c r="M58" s="69"/>
      <c r="N58" s="148"/>
    </row>
    <row r="59" spans="1:14" x14ac:dyDescent="0.35">
      <c r="A59" s="470"/>
      <c r="B59" s="56"/>
      <c r="C59" s="8"/>
      <c r="D59" s="8"/>
      <c r="E59" s="8"/>
      <c r="F59" s="13"/>
      <c r="G59" s="161" t="s">
        <v>18</v>
      </c>
      <c r="H59" s="103" t="s">
        <v>269</v>
      </c>
      <c r="I59" s="68" t="s">
        <v>4</v>
      </c>
      <c r="J59" s="95">
        <f>2.6*1.89</f>
        <v>4.9139999999999997</v>
      </c>
      <c r="K59" s="312">
        <v>0</v>
      </c>
      <c r="L59" s="69">
        <f>K59*J59</f>
        <v>0</v>
      </c>
      <c r="M59" s="312">
        <v>0</v>
      </c>
      <c r="N59" s="148"/>
    </row>
    <row r="60" spans="1:14" x14ac:dyDescent="0.35">
      <c r="A60" s="470"/>
      <c r="B60" s="56"/>
      <c r="C60" s="8"/>
      <c r="D60" s="8"/>
      <c r="E60" s="8"/>
      <c r="F60" s="13"/>
      <c r="G60" s="161"/>
      <c r="H60" s="103" t="s">
        <v>149</v>
      </c>
      <c r="I60" s="68" t="s">
        <v>4</v>
      </c>
      <c r="J60" s="95">
        <f>2.6*1.89*1+2.6*0.765+1.6*0.58+1.6*0.038*2*2+0.58*2*0.038*2+1.5*2+2*1.05*1.6+2*1.05*0.58</f>
        <v>15.740359999999999</v>
      </c>
      <c r="K60" s="312">
        <v>0</v>
      </c>
      <c r="L60" s="69">
        <f>K60*J60</f>
        <v>0</v>
      </c>
      <c r="M60" s="312">
        <v>0</v>
      </c>
      <c r="N60" s="148" t="s">
        <v>519</v>
      </c>
    </row>
    <row r="61" spans="1:14" x14ac:dyDescent="0.35">
      <c r="A61" s="470"/>
      <c r="B61" s="56"/>
      <c r="C61" s="8"/>
      <c r="D61" s="8"/>
      <c r="E61" s="8"/>
      <c r="F61" s="13"/>
      <c r="G61" s="161"/>
      <c r="H61" s="103"/>
      <c r="I61" s="68"/>
      <c r="J61" s="95"/>
      <c r="K61" s="69"/>
      <c r="L61" s="69"/>
      <c r="M61" s="69"/>
      <c r="N61" s="148"/>
    </row>
    <row r="62" spans="1:14" ht="29" x14ac:dyDescent="0.35">
      <c r="A62" s="470"/>
      <c r="B62" s="56"/>
      <c r="C62" s="8"/>
      <c r="D62" s="8"/>
      <c r="E62" s="8"/>
      <c r="F62" s="13"/>
      <c r="G62" s="161" t="s">
        <v>19</v>
      </c>
      <c r="H62" s="88" t="s">
        <v>771</v>
      </c>
      <c r="I62" s="68" t="s">
        <v>4</v>
      </c>
      <c r="J62" s="95">
        <f>1.46*1.23</f>
        <v>1.7957999999999998</v>
      </c>
      <c r="K62" s="312">
        <v>0</v>
      </c>
      <c r="L62" s="69">
        <f>K62*J62</f>
        <v>0</v>
      </c>
      <c r="M62" s="312">
        <v>0</v>
      </c>
      <c r="N62" s="148"/>
    </row>
    <row r="63" spans="1:14" x14ac:dyDescent="0.35">
      <c r="A63" s="470"/>
      <c r="B63" s="56"/>
      <c r="C63" s="8"/>
      <c r="D63" s="8"/>
      <c r="E63" s="8"/>
      <c r="F63" s="13"/>
      <c r="G63" s="161"/>
      <c r="H63" s="103"/>
      <c r="I63" s="68"/>
      <c r="J63" s="95"/>
      <c r="K63" s="69"/>
      <c r="L63" s="69"/>
      <c r="M63" s="69"/>
      <c r="N63" s="148"/>
    </row>
    <row r="64" spans="1:14" x14ac:dyDescent="0.35">
      <c r="A64" s="470"/>
      <c r="B64" s="56"/>
      <c r="C64" s="8"/>
      <c r="D64" s="8"/>
      <c r="E64" s="8"/>
      <c r="F64" s="13"/>
      <c r="G64" s="13" t="s">
        <v>28</v>
      </c>
      <c r="H64" s="103" t="s">
        <v>29</v>
      </c>
      <c r="I64" s="68" t="s">
        <v>6</v>
      </c>
      <c r="J64" s="95">
        <v>2</v>
      </c>
      <c r="K64" s="312">
        <v>0</v>
      </c>
      <c r="L64" s="69">
        <f>K64*J64</f>
        <v>0</v>
      </c>
      <c r="M64" s="312">
        <v>0</v>
      </c>
      <c r="N64" s="148"/>
    </row>
    <row r="65" spans="1:14" x14ac:dyDescent="0.35">
      <c r="A65" s="470"/>
      <c r="B65" s="56"/>
      <c r="C65" s="8"/>
      <c r="D65" s="8"/>
      <c r="E65" s="8"/>
      <c r="F65" s="13"/>
      <c r="G65" s="13"/>
      <c r="H65" s="103" t="s">
        <v>273</v>
      </c>
      <c r="I65" s="68" t="s">
        <v>6</v>
      </c>
      <c r="J65" s="95">
        <v>1</v>
      </c>
      <c r="K65" s="312">
        <v>0</v>
      </c>
      <c r="L65" s="69">
        <f>K65*J65</f>
        <v>0</v>
      </c>
      <c r="M65" s="312">
        <v>0</v>
      </c>
      <c r="N65" s="148"/>
    </row>
    <row r="66" spans="1:14" s="79" customFormat="1" x14ac:dyDescent="0.35">
      <c r="A66" s="470"/>
      <c r="B66" s="56"/>
      <c r="C66" s="8"/>
      <c r="D66" s="8"/>
      <c r="E66" s="8"/>
      <c r="F66" s="13"/>
      <c r="G66" s="13"/>
      <c r="H66" s="103" t="s">
        <v>720</v>
      </c>
      <c r="I66" s="68" t="s">
        <v>24</v>
      </c>
      <c r="J66" s="95">
        <f>1.525*0.54*0.03*10</f>
        <v>0.24704999999999999</v>
      </c>
      <c r="K66" s="312">
        <v>0</v>
      </c>
      <c r="L66" s="69">
        <f>K66*J66</f>
        <v>0</v>
      </c>
      <c r="M66" s="312">
        <v>0</v>
      </c>
      <c r="N66" s="148"/>
    </row>
    <row r="67" spans="1:14" x14ac:dyDescent="0.35">
      <c r="A67" s="470"/>
      <c r="B67" s="56"/>
      <c r="C67" s="8"/>
      <c r="D67" s="8"/>
      <c r="E67" s="8"/>
      <c r="F67" s="13"/>
      <c r="G67" s="13"/>
      <c r="H67" s="103"/>
      <c r="I67" s="68"/>
      <c r="J67" s="95"/>
      <c r="K67" s="69"/>
      <c r="L67" s="69"/>
      <c r="M67" s="69"/>
      <c r="N67" s="148"/>
    </row>
    <row r="68" spans="1:14" ht="15.5" x14ac:dyDescent="0.35">
      <c r="A68" s="470"/>
      <c r="B68" s="76"/>
      <c r="C68" s="77"/>
      <c r="D68" s="77"/>
      <c r="E68" s="77"/>
      <c r="F68" s="30"/>
      <c r="G68" s="31"/>
      <c r="H68" s="32" t="s">
        <v>459</v>
      </c>
      <c r="I68" s="33"/>
      <c r="J68" s="98"/>
      <c r="K68" s="34"/>
      <c r="L68" s="137">
        <f>SUM(L54:L66)</f>
        <v>0</v>
      </c>
      <c r="M68" s="137">
        <f>SUM(M54:M66)</f>
        <v>0</v>
      </c>
      <c r="N68" s="148"/>
    </row>
    <row r="69" spans="1:14" x14ac:dyDescent="0.35">
      <c r="A69" s="470"/>
      <c r="B69" s="56"/>
      <c r="C69" s="8"/>
      <c r="D69" s="8"/>
      <c r="E69" s="8"/>
      <c r="F69" s="8"/>
      <c r="G69" s="251"/>
      <c r="H69" s="229"/>
      <c r="I69" s="229"/>
      <c r="J69" s="268"/>
      <c r="K69" s="229"/>
      <c r="L69" s="229"/>
      <c r="M69" s="229"/>
      <c r="N69" s="148"/>
    </row>
    <row r="70" spans="1:14" ht="29" x14ac:dyDescent="0.35">
      <c r="A70" s="470"/>
      <c r="B70" s="57">
        <v>136</v>
      </c>
      <c r="C70" s="35" t="s">
        <v>14</v>
      </c>
      <c r="D70" s="35" t="s">
        <v>266</v>
      </c>
      <c r="E70" s="40"/>
      <c r="F70" s="160" t="s">
        <v>294</v>
      </c>
      <c r="G70" s="216"/>
      <c r="H70" s="221" t="s">
        <v>568</v>
      </c>
      <c r="I70" s="211" t="s">
        <v>6</v>
      </c>
      <c r="J70" s="212">
        <v>1</v>
      </c>
      <c r="K70" s="312">
        <v>0</v>
      </c>
      <c r="L70" s="220">
        <f>K70*J70</f>
        <v>0</v>
      </c>
      <c r="M70" s="312">
        <v>0</v>
      </c>
      <c r="N70" s="148" t="s">
        <v>365</v>
      </c>
    </row>
    <row r="71" spans="1:14" x14ac:dyDescent="0.35">
      <c r="A71" s="470"/>
      <c r="B71" s="56"/>
      <c r="C71" s="8"/>
      <c r="D71" s="8"/>
      <c r="E71" s="251"/>
      <c r="F71" s="217"/>
      <c r="G71" s="217"/>
      <c r="H71" s="239"/>
      <c r="I71" s="211"/>
      <c r="J71" s="212"/>
      <c r="K71" s="220"/>
      <c r="L71" s="220"/>
      <c r="M71" s="220"/>
      <c r="N71" s="148"/>
    </row>
    <row r="72" spans="1:14" ht="15.5" x14ac:dyDescent="0.35">
      <c r="A72" s="470"/>
      <c r="B72" s="76"/>
      <c r="C72" s="77"/>
      <c r="D72" s="77"/>
      <c r="E72" s="261"/>
      <c r="F72" s="262"/>
      <c r="G72" s="255"/>
      <c r="H72" s="234" t="s">
        <v>459</v>
      </c>
      <c r="I72" s="256"/>
      <c r="J72" s="257"/>
      <c r="K72" s="258"/>
      <c r="L72" s="137">
        <f>SUM(L70:L70)</f>
        <v>0</v>
      </c>
      <c r="M72" s="137">
        <f>SUM(M70:M70)</f>
        <v>0</v>
      </c>
      <c r="N72" s="148"/>
    </row>
    <row r="73" spans="1:14" s="79" customFormat="1" x14ac:dyDescent="0.35">
      <c r="A73" s="470"/>
      <c r="B73" s="56"/>
      <c r="C73" s="8"/>
      <c r="D73" s="8"/>
      <c r="E73" s="8"/>
      <c r="F73" s="8"/>
      <c r="G73" s="251"/>
      <c r="H73" s="229"/>
      <c r="I73" s="229"/>
      <c r="J73" s="268"/>
      <c r="K73" s="229"/>
      <c r="L73" s="229"/>
      <c r="M73" s="229"/>
      <c r="N73" s="148"/>
    </row>
    <row r="74" spans="1:14" s="79" customFormat="1" ht="29" x14ac:dyDescent="0.35">
      <c r="A74" s="470"/>
      <c r="B74" s="57">
        <v>137</v>
      </c>
      <c r="C74" s="35" t="s">
        <v>14</v>
      </c>
      <c r="D74" s="35" t="s">
        <v>277</v>
      </c>
      <c r="E74" s="40"/>
      <c r="F74" s="160" t="s">
        <v>363</v>
      </c>
      <c r="G74" s="216"/>
      <c r="H74" s="239" t="s">
        <v>562</v>
      </c>
      <c r="I74" s="211" t="s">
        <v>6</v>
      </c>
      <c r="J74" s="212">
        <v>1</v>
      </c>
      <c r="K74" s="312">
        <v>0</v>
      </c>
      <c r="L74" s="220">
        <f>K74*J74</f>
        <v>0</v>
      </c>
      <c r="M74" s="312">
        <v>0</v>
      </c>
      <c r="N74" s="148" t="s">
        <v>567</v>
      </c>
    </row>
    <row r="75" spans="1:14" s="79" customFormat="1" x14ac:dyDescent="0.35">
      <c r="A75" s="470"/>
      <c r="B75" s="56"/>
      <c r="C75" s="8"/>
      <c r="D75" s="8"/>
      <c r="E75" s="251"/>
      <c r="F75" s="217"/>
      <c r="G75" s="217"/>
      <c r="H75" s="239"/>
      <c r="I75" s="211"/>
      <c r="J75" s="212"/>
      <c r="K75" s="220"/>
      <c r="L75" s="220"/>
      <c r="M75" s="220"/>
      <c r="N75" s="148"/>
    </row>
    <row r="76" spans="1:14" s="79" customFormat="1" ht="15.5" x14ac:dyDescent="0.35">
      <c r="A76" s="470"/>
      <c r="B76" s="76"/>
      <c r="C76" s="77"/>
      <c r="D76" s="77"/>
      <c r="E76" s="261"/>
      <c r="F76" s="262"/>
      <c r="G76" s="255"/>
      <c r="H76" s="234" t="s">
        <v>459</v>
      </c>
      <c r="I76" s="256"/>
      <c r="J76" s="257"/>
      <c r="K76" s="258"/>
      <c r="L76" s="137">
        <f>SUM(L74:L74)</f>
        <v>0</v>
      </c>
      <c r="M76" s="137">
        <f>SUM(M74:M74)</f>
        <v>0</v>
      </c>
      <c r="N76" s="148"/>
    </row>
    <row r="77" spans="1:14" ht="15" thickBot="1" x14ac:dyDescent="0.4">
      <c r="A77" s="470"/>
      <c r="B77" s="56"/>
      <c r="C77" s="8"/>
      <c r="D77" s="8"/>
      <c r="E77" s="8"/>
      <c r="F77" s="8"/>
      <c r="G77" s="8"/>
      <c r="H77" s="141"/>
      <c r="I77" s="141"/>
      <c r="J77" s="162"/>
      <c r="K77" s="141"/>
      <c r="L77" s="141"/>
      <c r="M77" s="141"/>
      <c r="N77" s="148"/>
    </row>
    <row r="78" spans="1:14" ht="19" thickBot="1" x14ac:dyDescent="0.4">
      <c r="A78" s="470"/>
      <c r="B78" s="453" t="s">
        <v>37</v>
      </c>
      <c r="C78" s="454"/>
      <c r="D78" s="454"/>
      <c r="E78" s="454"/>
      <c r="F78" s="454"/>
      <c r="G78" s="140"/>
      <c r="H78" s="140" t="s">
        <v>459</v>
      </c>
      <c r="I78" s="50"/>
      <c r="J78" s="94"/>
      <c r="K78" s="51"/>
      <c r="L78" s="52">
        <f>L76+L72+L68+L52+L37</f>
        <v>0</v>
      </c>
      <c r="M78" s="53">
        <f>M76+M72+M68+M52+M37</f>
        <v>0</v>
      </c>
      <c r="N78" s="148" t="s">
        <v>364</v>
      </c>
    </row>
    <row r="79" spans="1:14" ht="19" thickBot="1" x14ac:dyDescent="0.4">
      <c r="A79" s="471"/>
      <c r="B79" s="58"/>
      <c r="C79" s="21"/>
      <c r="D79" s="21"/>
      <c r="E79" s="14"/>
      <c r="F79" s="15"/>
      <c r="G79" s="15"/>
      <c r="H79" s="16"/>
      <c r="I79" s="17"/>
      <c r="J79" s="96"/>
      <c r="K79" s="277"/>
      <c r="L79" s="278"/>
      <c r="M79" s="276"/>
      <c r="N79" s="148"/>
    </row>
    <row r="80" spans="1:14" ht="18.5" x14ac:dyDescent="0.35">
      <c r="A80" s="469" t="s">
        <v>39</v>
      </c>
      <c r="B80" s="56"/>
      <c r="C80" s="20"/>
      <c r="D80" s="20"/>
      <c r="E80" s="8"/>
      <c r="F80" s="13"/>
      <c r="G80" s="13"/>
      <c r="H80" s="141"/>
      <c r="I80" s="68"/>
      <c r="J80" s="95"/>
      <c r="K80" s="69"/>
      <c r="L80" s="69"/>
      <c r="M80" s="69"/>
      <c r="N80" s="146"/>
    </row>
    <row r="81" spans="1:14" ht="18.75" customHeight="1" x14ac:dyDescent="0.35">
      <c r="A81" s="470"/>
      <c r="B81" s="57">
        <v>138</v>
      </c>
      <c r="C81" s="35" t="s">
        <v>38</v>
      </c>
      <c r="D81" s="35" t="s">
        <v>264</v>
      </c>
      <c r="E81" s="40"/>
      <c r="F81" s="160" t="s">
        <v>274</v>
      </c>
      <c r="G81" s="161"/>
      <c r="H81" s="103" t="s">
        <v>528</v>
      </c>
      <c r="I81" s="68" t="s">
        <v>4</v>
      </c>
      <c r="J81" s="95">
        <f>2.5*4.86</f>
        <v>12.15</v>
      </c>
      <c r="K81" s="312">
        <v>0</v>
      </c>
      <c r="L81" s="69">
        <f>K81*J81</f>
        <v>0</v>
      </c>
      <c r="M81" s="312">
        <v>0</v>
      </c>
      <c r="N81" s="148"/>
    </row>
    <row r="82" spans="1:14" x14ac:dyDescent="0.35">
      <c r="A82" s="470"/>
      <c r="B82" s="56"/>
      <c r="C82" s="8"/>
      <c r="D82" s="8"/>
      <c r="E82" s="8"/>
      <c r="F82" s="13"/>
      <c r="G82" s="13"/>
      <c r="H82" s="103"/>
      <c r="I82" s="68"/>
      <c r="J82" s="95"/>
      <c r="K82" s="69"/>
      <c r="L82" s="69"/>
      <c r="M82" s="69"/>
      <c r="N82" s="148"/>
    </row>
    <row r="83" spans="1:14" ht="15.5" x14ac:dyDescent="0.35">
      <c r="A83" s="470"/>
      <c r="B83" s="76"/>
      <c r="C83" s="77"/>
      <c r="D83" s="77"/>
      <c r="E83" s="77"/>
      <c r="F83" s="30"/>
      <c r="G83" s="64"/>
      <c r="H83" s="65" t="s">
        <v>459</v>
      </c>
      <c r="I83" s="66"/>
      <c r="J83" s="102"/>
      <c r="K83" s="67"/>
      <c r="L83" s="89">
        <f>SUM(L81:L81)</f>
        <v>0</v>
      </c>
      <c r="M83" s="89">
        <f>SUM(M81:M81)</f>
        <v>0</v>
      </c>
      <c r="N83" s="148"/>
    </row>
    <row r="84" spans="1:14" x14ac:dyDescent="0.35">
      <c r="A84" s="470"/>
      <c r="B84" s="56"/>
      <c r="C84" s="8"/>
      <c r="D84" s="8"/>
      <c r="E84" s="8"/>
      <c r="F84" s="8"/>
      <c r="G84" s="28"/>
      <c r="H84" s="29"/>
      <c r="I84" s="29"/>
      <c r="J84" s="97"/>
      <c r="K84" s="29"/>
      <c r="L84" s="29"/>
      <c r="M84" s="29"/>
      <c r="N84" s="148"/>
    </row>
    <row r="85" spans="1:14" ht="18.5" x14ac:dyDescent="0.35">
      <c r="A85" s="470"/>
      <c r="B85" s="57">
        <v>139</v>
      </c>
      <c r="C85" s="35" t="s">
        <v>38</v>
      </c>
      <c r="D85" s="35" t="s">
        <v>265</v>
      </c>
      <c r="E85" s="40"/>
      <c r="F85" s="160" t="s">
        <v>275</v>
      </c>
      <c r="G85" s="161"/>
      <c r="H85" s="103" t="s">
        <v>528</v>
      </c>
      <c r="I85" s="68" t="s">
        <v>4</v>
      </c>
      <c r="J85" s="95">
        <f>4.8*2.5</f>
        <v>12</v>
      </c>
      <c r="K85" s="312">
        <v>0</v>
      </c>
      <c r="L85" s="69">
        <f>K85*J85</f>
        <v>0</v>
      </c>
      <c r="M85" s="312">
        <v>0</v>
      </c>
      <c r="N85" s="148"/>
    </row>
    <row r="86" spans="1:14" x14ac:dyDescent="0.35">
      <c r="A86" s="470"/>
      <c r="B86" s="56"/>
      <c r="C86" s="8"/>
      <c r="D86" s="8"/>
      <c r="E86" s="8"/>
      <c r="F86" s="13"/>
      <c r="G86" s="13"/>
      <c r="H86" s="103"/>
      <c r="I86" s="68"/>
      <c r="J86" s="95"/>
      <c r="K86" s="69"/>
      <c r="L86" s="69"/>
      <c r="M86" s="69"/>
      <c r="N86" s="148"/>
    </row>
    <row r="87" spans="1:14" ht="15.5" x14ac:dyDescent="0.35">
      <c r="A87" s="470"/>
      <c r="B87" s="76"/>
      <c r="C87" s="77"/>
      <c r="D87" s="77"/>
      <c r="E87" s="77"/>
      <c r="F87" s="30"/>
      <c r="G87" s="31"/>
      <c r="H87" s="32" t="s">
        <v>459</v>
      </c>
      <c r="I87" s="33"/>
      <c r="J87" s="98"/>
      <c r="K87" s="34"/>
      <c r="L87" s="137">
        <f>SUM(L85:L85)</f>
        <v>0</v>
      </c>
      <c r="M87" s="137">
        <f>SUM(M85:M85)</f>
        <v>0</v>
      </c>
      <c r="N87" s="148"/>
    </row>
    <row r="88" spans="1:14" x14ac:dyDescent="0.35">
      <c r="A88" s="470"/>
      <c r="B88" s="56"/>
      <c r="C88" s="8"/>
      <c r="D88" s="8"/>
      <c r="E88" s="8"/>
      <c r="F88" s="8"/>
      <c r="G88" s="8"/>
      <c r="H88" s="141"/>
      <c r="I88" s="141"/>
      <c r="J88" s="162"/>
      <c r="K88" s="141"/>
      <c r="L88" s="141"/>
      <c r="M88" s="141"/>
      <c r="N88" s="148"/>
    </row>
    <row r="89" spans="1:14" ht="18.5" x14ac:dyDescent="0.35">
      <c r="A89" s="470"/>
      <c r="B89" s="57">
        <v>140</v>
      </c>
      <c r="C89" s="35" t="s">
        <v>38</v>
      </c>
      <c r="D89" s="35" t="s">
        <v>267</v>
      </c>
      <c r="E89" s="40"/>
      <c r="F89" s="160" t="s">
        <v>276</v>
      </c>
      <c r="G89" s="161"/>
      <c r="H89" s="103" t="s">
        <v>528</v>
      </c>
      <c r="I89" s="68" t="s">
        <v>4</v>
      </c>
      <c r="J89" s="95">
        <f>3.595*2.5</f>
        <v>8.9875000000000007</v>
      </c>
      <c r="K89" s="312">
        <v>0</v>
      </c>
      <c r="L89" s="69">
        <f>K89*J89</f>
        <v>0</v>
      </c>
      <c r="M89" s="312">
        <v>0</v>
      </c>
      <c r="N89" s="148"/>
    </row>
    <row r="90" spans="1:14" x14ac:dyDescent="0.35">
      <c r="A90" s="470"/>
      <c r="B90" s="56"/>
      <c r="C90" s="8"/>
      <c r="D90" s="8"/>
      <c r="E90" s="8"/>
      <c r="F90" s="13"/>
      <c r="G90" s="13"/>
      <c r="H90" s="103"/>
      <c r="I90" s="68"/>
      <c r="J90" s="95"/>
      <c r="K90" s="69"/>
      <c r="L90" s="69"/>
      <c r="M90" s="69"/>
      <c r="N90" s="148"/>
    </row>
    <row r="91" spans="1:14" ht="15.5" x14ac:dyDescent="0.35">
      <c r="A91" s="470"/>
      <c r="B91" s="76"/>
      <c r="C91" s="77"/>
      <c r="D91" s="77"/>
      <c r="E91" s="77"/>
      <c r="F91" s="30"/>
      <c r="G91" s="31"/>
      <c r="H91" s="32" t="s">
        <v>459</v>
      </c>
      <c r="I91" s="33"/>
      <c r="J91" s="98"/>
      <c r="K91" s="34"/>
      <c r="L91" s="137">
        <f>SUM(L89:L89)</f>
        <v>0</v>
      </c>
      <c r="M91" s="137">
        <f>SUM(M89:M89)</f>
        <v>0</v>
      </c>
      <c r="N91" s="148"/>
    </row>
    <row r="92" spans="1:14" s="135" customFormat="1" ht="18.5" x14ac:dyDescent="0.35">
      <c r="A92" s="470"/>
      <c r="B92" s="56"/>
      <c r="C92" s="20"/>
      <c r="D92" s="20"/>
      <c r="E92" s="8"/>
      <c r="F92" s="13"/>
      <c r="G92" s="13"/>
      <c r="H92" s="141"/>
      <c r="I92" s="68"/>
      <c r="J92" s="95"/>
      <c r="K92" s="69"/>
      <c r="L92" s="69"/>
      <c r="M92" s="69"/>
      <c r="N92" s="148"/>
    </row>
    <row r="93" spans="1:14" s="135" customFormat="1" ht="18.5" x14ac:dyDescent="0.35">
      <c r="A93" s="470"/>
      <c r="B93" s="57">
        <v>141</v>
      </c>
      <c r="C93" s="35" t="s">
        <v>38</v>
      </c>
      <c r="D93" s="35" t="s">
        <v>266</v>
      </c>
      <c r="E93" s="40"/>
      <c r="F93" s="160" t="s">
        <v>32</v>
      </c>
      <c r="G93" s="161"/>
      <c r="H93" s="103" t="s">
        <v>42</v>
      </c>
      <c r="I93" s="68" t="s">
        <v>4</v>
      </c>
      <c r="J93" s="95">
        <f>0.75*0.75</f>
        <v>0.5625</v>
      </c>
      <c r="K93" s="312">
        <v>0</v>
      </c>
      <c r="L93" s="69">
        <f>K93*J93</f>
        <v>0</v>
      </c>
      <c r="M93" s="312">
        <v>0</v>
      </c>
      <c r="N93" s="148"/>
    </row>
    <row r="94" spans="1:14" s="135" customFormat="1" x14ac:dyDescent="0.35">
      <c r="A94" s="470"/>
      <c r="B94" s="56"/>
      <c r="C94" s="8"/>
      <c r="D94" s="8"/>
      <c r="E94" s="8"/>
      <c r="F94" s="13"/>
      <c r="G94" s="13"/>
      <c r="H94" s="103"/>
      <c r="I94" s="68"/>
      <c r="J94" s="95"/>
      <c r="K94" s="69"/>
      <c r="L94" s="69"/>
      <c r="M94" s="69"/>
      <c r="N94" s="148"/>
    </row>
    <row r="95" spans="1:14" s="135" customFormat="1" ht="15.5" x14ac:dyDescent="0.35">
      <c r="A95" s="470"/>
      <c r="B95" s="76"/>
      <c r="C95" s="77"/>
      <c r="D95" s="77"/>
      <c r="E95" s="77"/>
      <c r="F95" s="30"/>
      <c r="G95" s="31"/>
      <c r="H95" s="32" t="s">
        <v>459</v>
      </c>
      <c r="I95" s="33"/>
      <c r="J95" s="98"/>
      <c r="K95" s="34"/>
      <c r="L95" s="137">
        <f>SUM(L93:L93)</f>
        <v>0</v>
      </c>
      <c r="M95" s="137">
        <f>SUM(M93:M93)</f>
        <v>0</v>
      </c>
      <c r="N95" s="148"/>
    </row>
    <row r="96" spans="1:14" ht="15" thickBot="1" x14ac:dyDescent="0.4">
      <c r="A96" s="470"/>
      <c r="B96" s="56"/>
      <c r="C96" s="8"/>
      <c r="D96" s="8"/>
      <c r="E96" s="8"/>
      <c r="F96" s="8"/>
      <c r="G96" s="8"/>
      <c r="H96" s="141"/>
      <c r="I96" s="141"/>
      <c r="J96" s="162"/>
      <c r="K96" s="141"/>
      <c r="L96" s="141"/>
      <c r="M96" s="141"/>
      <c r="N96" s="148"/>
    </row>
    <row r="97" spans="1:14" ht="19" thickBot="1" x14ac:dyDescent="0.4">
      <c r="A97" s="470"/>
      <c r="B97" s="453" t="s">
        <v>43</v>
      </c>
      <c r="C97" s="454"/>
      <c r="D97" s="454"/>
      <c r="E97" s="454"/>
      <c r="F97" s="454"/>
      <c r="G97" s="140"/>
      <c r="H97" s="140" t="s">
        <v>459</v>
      </c>
      <c r="I97" s="50"/>
      <c r="J97" s="94"/>
      <c r="K97" s="51"/>
      <c r="L97" s="52">
        <f>L91+L87+L83+L95</f>
        <v>0</v>
      </c>
      <c r="M97" s="53">
        <f>M91+M87+M83+M95</f>
        <v>0</v>
      </c>
      <c r="N97" s="148"/>
    </row>
    <row r="98" spans="1:14" ht="19" thickBot="1" x14ac:dyDescent="0.4">
      <c r="A98" s="471"/>
      <c r="B98" s="58"/>
      <c r="C98" s="21"/>
      <c r="D98" s="21"/>
      <c r="E98" s="14"/>
      <c r="F98" s="15"/>
      <c r="G98" s="15"/>
      <c r="H98" s="16"/>
      <c r="I98" s="17"/>
      <c r="J98" s="96"/>
      <c r="K98" s="22"/>
      <c r="L98" s="23"/>
      <c r="M98" s="24"/>
      <c r="N98" s="148"/>
    </row>
    <row r="99" spans="1:14" ht="18.5" x14ac:dyDescent="0.35">
      <c r="A99" s="469" t="s">
        <v>46</v>
      </c>
      <c r="B99" s="56"/>
      <c r="C99" s="20"/>
      <c r="D99" s="20"/>
      <c r="E99" s="8"/>
      <c r="F99" s="13"/>
      <c r="G99" s="13"/>
      <c r="H99" s="141"/>
      <c r="I99" s="68"/>
      <c r="J99" s="95"/>
      <c r="K99" s="69"/>
      <c r="L99" s="69"/>
      <c r="M99" s="69"/>
      <c r="N99" s="146"/>
    </row>
    <row r="100" spans="1:14" ht="18.75" customHeight="1" x14ac:dyDescent="0.35">
      <c r="A100" s="470"/>
      <c r="B100" s="57">
        <v>142</v>
      </c>
      <c r="C100" s="35" t="s">
        <v>47</v>
      </c>
      <c r="D100" s="35" t="s">
        <v>320</v>
      </c>
      <c r="E100" s="40"/>
      <c r="F100" s="160" t="s">
        <v>218</v>
      </c>
      <c r="G100" s="161" t="s">
        <v>278</v>
      </c>
      <c r="H100" s="103" t="s">
        <v>517</v>
      </c>
      <c r="I100" s="68" t="s">
        <v>6</v>
      </c>
      <c r="J100" s="95">
        <v>4</v>
      </c>
      <c r="K100" s="312">
        <v>0</v>
      </c>
      <c r="L100" s="69">
        <f>K100*J100</f>
        <v>0</v>
      </c>
      <c r="M100" s="312">
        <v>0</v>
      </c>
      <c r="N100" s="148"/>
    </row>
    <row r="101" spans="1:14" ht="18.5" x14ac:dyDescent="0.35">
      <c r="A101" s="470"/>
      <c r="B101" s="56"/>
      <c r="C101" s="20"/>
      <c r="D101" s="20"/>
      <c r="E101" s="8"/>
      <c r="F101" s="13"/>
      <c r="G101" s="161"/>
      <c r="H101" s="103"/>
      <c r="I101" s="68"/>
      <c r="J101" s="95"/>
      <c r="K101" s="69"/>
      <c r="L101" s="69"/>
      <c r="M101" s="69"/>
      <c r="N101" s="148"/>
    </row>
    <row r="102" spans="1:14" ht="15.5" x14ac:dyDescent="0.35">
      <c r="A102" s="470"/>
      <c r="B102" s="76"/>
      <c r="C102" s="77"/>
      <c r="D102" s="77"/>
      <c r="E102" s="77"/>
      <c r="F102" s="25"/>
      <c r="G102" s="64"/>
      <c r="H102" s="65" t="s">
        <v>459</v>
      </c>
      <c r="I102" s="66"/>
      <c r="J102" s="102"/>
      <c r="K102" s="67"/>
      <c r="L102" s="89">
        <f>SUM(L100:L101)</f>
        <v>0</v>
      </c>
      <c r="M102" s="89">
        <f>SUM(M100:M101)</f>
        <v>0</v>
      </c>
      <c r="N102" s="148"/>
    </row>
    <row r="103" spans="1:14" x14ac:dyDescent="0.35">
      <c r="A103" s="470"/>
      <c r="B103" s="56"/>
      <c r="C103" s="8"/>
      <c r="D103" s="8"/>
      <c r="E103" s="8"/>
      <c r="F103" s="28"/>
      <c r="G103" s="28"/>
      <c r="H103" s="29"/>
      <c r="I103" s="29"/>
      <c r="J103" s="97"/>
      <c r="K103" s="29"/>
      <c r="L103" s="29"/>
      <c r="M103" s="29"/>
      <c r="N103" s="148"/>
    </row>
    <row r="104" spans="1:14" ht="18.5" x14ac:dyDescent="0.35">
      <c r="A104" s="470"/>
      <c r="B104" s="57">
        <v>143</v>
      </c>
      <c r="C104" s="35" t="s">
        <v>47</v>
      </c>
      <c r="D104" s="35" t="s">
        <v>321</v>
      </c>
      <c r="E104" s="40"/>
      <c r="F104" s="160" t="s">
        <v>619</v>
      </c>
      <c r="G104" s="161" t="s">
        <v>319</v>
      </c>
      <c r="H104" s="103" t="s">
        <v>569</v>
      </c>
      <c r="I104" s="68" t="s">
        <v>5</v>
      </c>
      <c r="J104" s="95">
        <v>1</v>
      </c>
      <c r="K104" s="312">
        <v>0</v>
      </c>
      <c r="L104" s="69">
        <f>K104*J104</f>
        <v>0</v>
      </c>
      <c r="M104" s="312">
        <v>0</v>
      </c>
      <c r="N104" s="148"/>
    </row>
    <row r="105" spans="1:14" x14ac:dyDescent="0.35">
      <c r="A105" s="470"/>
      <c r="B105" s="56"/>
      <c r="C105" s="8"/>
      <c r="D105" s="8"/>
      <c r="E105" s="8"/>
      <c r="F105" s="13"/>
      <c r="G105" s="13"/>
      <c r="H105" s="103"/>
      <c r="I105" s="68"/>
      <c r="J105" s="95"/>
      <c r="K105" s="69"/>
      <c r="L105" s="69"/>
      <c r="M105" s="69"/>
      <c r="N105" s="148"/>
    </row>
    <row r="106" spans="1:14" ht="15.5" x14ac:dyDescent="0.35">
      <c r="A106" s="470"/>
      <c r="B106" s="76"/>
      <c r="C106" s="77"/>
      <c r="D106" s="77"/>
      <c r="E106" s="77"/>
      <c r="F106" s="30"/>
      <c r="G106" s="31"/>
      <c r="H106" s="32" t="s">
        <v>459</v>
      </c>
      <c r="I106" s="33"/>
      <c r="J106" s="98"/>
      <c r="K106" s="34"/>
      <c r="L106" s="137">
        <f>SUM(L104:L104)</f>
        <v>0</v>
      </c>
      <c r="M106" s="137">
        <f>SUM(M104:M104)</f>
        <v>0</v>
      </c>
      <c r="N106" s="148"/>
    </row>
    <row r="107" spans="1:14" x14ac:dyDescent="0.35">
      <c r="A107" s="470"/>
      <c r="B107" s="56"/>
      <c r="C107" s="8"/>
      <c r="D107" s="8"/>
      <c r="E107" s="8"/>
      <c r="F107" s="8"/>
      <c r="G107" s="8"/>
      <c r="H107" s="141"/>
      <c r="I107" s="141"/>
      <c r="J107" s="162"/>
      <c r="K107" s="141"/>
      <c r="L107" s="141"/>
      <c r="M107" s="141"/>
      <c r="N107" s="148"/>
    </row>
    <row r="108" spans="1:14" ht="18.5" x14ac:dyDescent="0.35">
      <c r="A108" s="470"/>
      <c r="B108" s="57">
        <v>144</v>
      </c>
      <c r="C108" s="35" t="s">
        <v>47</v>
      </c>
      <c r="D108" s="35" t="s">
        <v>322</v>
      </c>
      <c r="E108" s="40"/>
      <c r="F108" s="160" t="s">
        <v>313</v>
      </c>
      <c r="G108" s="161" t="s">
        <v>51</v>
      </c>
      <c r="H108" s="103" t="s">
        <v>563</v>
      </c>
      <c r="I108" s="68" t="s">
        <v>6</v>
      </c>
      <c r="J108" s="95">
        <v>8</v>
      </c>
      <c r="K108" s="312">
        <v>0</v>
      </c>
      <c r="L108" s="69">
        <f>K108*J108</f>
        <v>0</v>
      </c>
      <c r="M108" s="312">
        <v>0</v>
      </c>
      <c r="N108" s="148" t="s">
        <v>323</v>
      </c>
    </row>
    <row r="109" spans="1:14" x14ac:dyDescent="0.35">
      <c r="A109" s="470"/>
      <c r="B109" s="56"/>
      <c r="C109" s="8"/>
      <c r="D109" s="8"/>
      <c r="E109" s="8"/>
      <c r="F109" s="13"/>
      <c r="G109" s="13"/>
      <c r="H109" s="103"/>
      <c r="I109" s="68"/>
      <c r="J109" s="95"/>
      <c r="K109" s="69"/>
      <c r="L109" s="69"/>
      <c r="M109" s="69"/>
      <c r="N109" s="148"/>
    </row>
    <row r="110" spans="1:14" ht="15.5" x14ac:dyDescent="0.35">
      <c r="A110" s="470"/>
      <c r="B110" s="76"/>
      <c r="C110" s="77"/>
      <c r="D110" s="77"/>
      <c r="E110" s="77"/>
      <c r="F110" s="30"/>
      <c r="G110" s="31"/>
      <c r="H110" s="32" t="s">
        <v>459</v>
      </c>
      <c r="I110" s="33"/>
      <c r="J110" s="98"/>
      <c r="K110" s="34"/>
      <c r="L110" s="137">
        <f>SUM(L108:L108)</f>
        <v>0</v>
      </c>
      <c r="M110" s="137">
        <f>SUM(M108:M108)</f>
        <v>0</v>
      </c>
      <c r="N110" s="148"/>
    </row>
    <row r="111" spans="1:14" ht="15" thickBot="1" x14ac:dyDescent="0.4">
      <c r="A111" s="470"/>
      <c r="B111" s="56"/>
      <c r="C111" s="8"/>
      <c r="D111" s="8"/>
      <c r="E111" s="8"/>
      <c r="F111" s="8"/>
      <c r="G111" s="8"/>
      <c r="H111" s="141"/>
      <c r="I111" s="141"/>
      <c r="J111" s="162"/>
      <c r="K111" s="141"/>
      <c r="L111" s="141"/>
      <c r="M111" s="141"/>
      <c r="N111" s="148"/>
    </row>
    <row r="112" spans="1:14" ht="19" thickBot="1" x14ac:dyDescent="0.4">
      <c r="A112" s="470"/>
      <c r="B112" s="453" t="s">
        <v>45</v>
      </c>
      <c r="C112" s="454"/>
      <c r="D112" s="454"/>
      <c r="E112" s="454"/>
      <c r="F112" s="454"/>
      <c r="G112" s="140"/>
      <c r="H112" s="140" t="s">
        <v>459</v>
      </c>
      <c r="I112" s="50"/>
      <c r="J112" s="94"/>
      <c r="K112" s="51"/>
      <c r="L112" s="52">
        <f>L110+L106+L102</f>
        <v>0</v>
      </c>
      <c r="M112" s="53">
        <f>M110+M106+M102</f>
        <v>0</v>
      </c>
      <c r="N112" s="148"/>
    </row>
    <row r="113" spans="1:14" ht="19" thickBot="1" x14ac:dyDescent="0.4">
      <c r="A113" s="471"/>
      <c r="B113" s="58"/>
      <c r="C113" s="21"/>
      <c r="D113" s="21"/>
      <c r="E113" s="14"/>
      <c r="F113" s="15"/>
      <c r="G113" s="15"/>
      <c r="H113" s="16"/>
      <c r="I113" s="17"/>
      <c r="J113" s="96"/>
      <c r="K113" s="277"/>
      <c r="L113" s="278"/>
      <c r="M113" s="276"/>
      <c r="N113" s="148"/>
    </row>
    <row r="114" spans="1:14" s="75" customFormat="1" ht="18.5" x14ac:dyDescent="0.35">
      <c r="A114" s="472" t="s">
        <v>59</v>
      </c>
      <c r="B114" s="249"/>
      <c r="C114" s="250"/>
      <c r="D114" s="250"/>
      <c r="E114" s="251"/>
      <c r="F114" s="217"/>
      <c r="G114" s="217"/>
      <c r="H114" s="229"/>
      <c r="I114" s="211"/>
      <c r="J114" s="212"/>
      <c r="K114" s="220"/>
      <c r="L114" s="220"/>
      <c r="M114" s="220"/>
      <c r="N114" s="252"/>
    </row>
    <row r="115" spans="1:14" s="75" customFormat="1" ht="18.75" customHeight="1" x14ac:dyDescent="0.35">
      <c r="A115" s="473"/>
      <c r="B115" s="57">
        <v>145</v>
      </c>
      <c r="C115" s="35" t="s">
        <v>60</v>
      </c>
      <c r="D115" s="35" t="s">
        <v>264</v>
      </c>
      <c r="E115" s="40"/>
      <c r="F115" s="160" t="s">
        <v>294</v>
      </c>
      <c r="G115" s="216" t="s">
        <v>73</v>
      </c>
      <c r="H115" s="239" t="s">
        <v>564</v>
      </c>
      <c r="I115" s="211" t="s">
        <v>6</v>
      </c>
      <c r="J115" s="212">
        <v>1</v>
      </c>
      <c r="K115" s="312">
        <v>0</v>
      </c>
      <c r="L115" s="220">
        <f>K115*J115</f>
        <v>0</v>
      </c>
      <c r="M115" s="312">
        <v>0</v>
      </c>
      <c r="N115" s="219" t="s">
        <v>570</v>
      </c>
    </row>
    <row r="116" spans="1:14" s="75" customFormat="1" ht="18.5" x14ac:dyDescent="0.35">
      <c r="A116" s="473"/>
      <c r="B116" s="249"/>
      <c r="C116" s="250"/>
      <c r="D116" s="250"/>
      <c r="E116" s="251"/>
      <c r="F116" s="217"/>
      <c r="G116" s="216"/>
      <c r="H116" s="239" t="s">
        <v>62</v>
      </c>
      <c r="I116" s="211" t="s">
        <v>6</v>
      </c>
      <c r="J116" s="212">
        <v>1</v>
      </c>
      <c r="K116" s="312">
        <v>0</v>
      </c>
      <c r="L116" s="220">
        <f>K116*J116</f>
        <v>0</v>
      </c>
      <c r="M116" s="312">
        <v>0</v>
      </c>
      <c r="N116" s="219" t="s">
        <v>550</v>
      </c>
    </row>
    <row r="117" spans="1:14" s="75" customFormat="1" ht="72.5" x14ac:dyDescent="0.35">
      <c r="A117" s="473"/>
      <c r="B117" s="249"/>
      <c r="C117" s="250"/>
      <c r="D117" s="250"/>
      <c r="E117" s="251"/>
      <c r="F117" s="217"/>
      <c r="G117" s="216"/>
      <c r="H117" s="239" t="s">
        <v>63</v>
      </c>
      <c r="I117" s="211" t="s">
        <v>6</v>
      </c>
      <c r="J117" s="212">
        <v>1</v>
      </c>
      <c r="K117" s="312">
        <v>0</v>
      </c>
      <c r="L117" s="220">
        <f>K117*J117</f>
        <v>0</v>
      </c>
      <c r="M117" s="312">
        <v>0</v>
      </c>
      <c r="N117" s="219" t="s">
        <v>573</v>
      </c>
    </row>
    <row r="118" spans="1:14" s="75" customFormat="1" ht="18.5" x14ac:dyDescent="0.35">
      <c r="A118" s="473"/>
      <c r="B118" s="249"/>
      <c r="C118" s="250"/>
      <c r="D118" s="250"/>
      <c r="E118" s="251"/>
      <c r="F118" s="217"/>
      <c r="G118" s="216"/>
      <c r="H118" s="239" t="s">
        <v>64</v>
      </c>
      <c r="I118" s="211" t="s">
        <v>6</v>
      </c>
      <c r="J118" s="212">
        <v>1</v>
      </c>
      <c r="K118" s="312">
        <v>0</v>
      </c>
      <c r="L118" s="220">
        <f>K118*J118</f>
        <v>0</v>
      </c>
      <c r="M118" s="312">
        <v>0</v>
      </c>
      <c r="N118" s="219" t="s">
        <v>571</v>
      </c>
    </row>
    <row r="119" spans="1:14" s="75" customFormat="1" x14ac:dyDescent="0.35">
      <c r="A119" s="473"/>
      <c r="B119" s="249"/>
      <c r="C119" s="251"/>
      <c r="D119" s="251"/>
      <c r="E119" s="251"/>
      <c r="F119" s="217"/>
      <c r="G119" s="217"/>
      <c r="H119" s="239"/>
      <c r="I119" s="211"/>
      <c r="J119" s="212"/>
      <c r="K119" s="220"/>
      <c r="L119" s="220"/>
      <c r="M119" s="220"/>
      <c r="N119" s="219"/>
    </row>
    <row r="120" spans="1:14" s="75" customFormat="1" x14ac:dyDescent="0.35">
      <c r="A120" s="473"/>
      <c r="B120" s="249"/>
      <c r="C120" s="251"/>
      <c r="D120" s="251"/>
      <c r="E120" s="251"/>
      <c r="F120" s="217"/>
      <c r="G120" s="217" t="s">
        <v>74</v>
      </c>
      <c r="H120" s="239" t="s">
        <v>77</v>
      </c>
      <c r="I120" s="211" t="s">
        <v>279</v>
      </c>
      <c r="J120" s="212">
        <v>2</v>
      </c>
      <c r="K120" s="312">
        <v>0</v>
      </c>
      <c r="L120" s="229"/>
      <c r="M120" s="220">
        <f>K120*J120</f>
        <v>0</v>
      </c>
      <c r="N120" s="219"/>
    </row>
    <row r="121" spans="1:14" s="75" customFormat="1" x14ac:dyDescent="0.35">
      <c r="A121" s="473"/>
      <c r="B121" s="249"/>
      <c r="C121" s="251"/>
      <c r="D121" s="251"/>
      <c r="E121" s="251"/>
      <c r="F121" s="217"/>
      <c r="G121" s="217"/>
      <c r="H121" s="239" t="s">
        <v>78</v>
      </c>
      <c r="I121" s="211" t="s">
        <v>279</v>
      </c>
      <c r="J121" s="212">
        <v>2</v>
      </c>
      <c r="K121" s="312">
        <v>0</v>
      </c>
      <c r="L121" s="229"/>
      <c r="M121" s="220">
        <f>K121*J121</f>
        <v>0</v>
      </c>
      <c r="N121" s="219"/>
    </row>
    <row r="122" spans="1:14" s="75" customFormat="1" x14ac:dyDescent="0.35">
      <c r="A122" s="473"/>
      <c r="B122" s="249"/>
      <c r="C122" s="251"/>
      <c r="D122" s="251"/>
      <c r="E122" s="251"/>
      <c r="F122" s="217"/>
      <c r="G122" s="217"/>
      <c r="H122" s="239" t="s">
        <v>79</v>
      </c>
      <c r="I122" s="211" t="s">
        <v>279</v>
      </c>
      <c r="J122" s="212">
        <v>1</v>
      </c>
      <c r="K122" s="312">
        <v>0</v>
      </c>
      <c r="L122" s="229"/>
      <c r="M122" s="220">
        <f>K122*J122</f>
        <v>0</v>
      </c>
      <c r="N122" s="219"/>
    </row>
    <row r="123" spans="1:14" s="75" customFormat="1" x14ac:dyDescent="0.35">
      <c r="A123" s="473"/>
      <c r="B123" s="249"/>
      <c r="C123" s="251"/>
      <c r="D123" s="251"/>
      <c r="E123" s="251"/>
      <c r="F123" s="217"/>
      <c r="G123" s="217"/>
      <c r="H123" s="239"/>
      <c r="I123" s="211"/>
      <c r="J123" s="212"/>
      <c r="K123" s="220"/>
      <c r="L123" s="220"/>
      <c r="M123" s="220"/>
      <c r="N123" s="219"/>
    </row>
    <row r="124" spans="1:14" s="75" customFormat="1" ht="15.5" x14ac:dyDescent="0.35">
      <c r="A124" s="473"/>
      <c r="B124" s="260"/>
      <c r="C124" s="261"/>
      <c r="D124" s="261"/>
      <c r="E124" s="261"/>
      <c r="F124" s="265"/>
      <c r="G124" s="279"/>
      <c r="H124" s="280" t="s">
        <v>459</v>
      </c>
      <c r="I124" s="281"/>
      <c r="J124" s="282"/>
      <c r="K124" s="283"/>
      <c r="L124" s="137">
        <f>SUM(L115:L122)</f>
        <v>0</v>
      </c>
      <c r="M124" s="137">
        <f>SUM(M115:M122)</f>
        <v>0</v>
      </c>
      <c r="N124" s="219"/>
    </row>
    <row r="125" spans="1:14" s="75" customFormat="1" x14ac:dyDescent="0.35">
      <c r="A125" s="473"/>
      <c r="B125" s="249"/>
      <c r="C125" s="251"/>
      <c r="D125" s="251"/>
      <c r="E125" s="251"/>
      <c r="F125" s="263"/>
      <c r="G125" s="263"/>
      <c r="H125" s="240"/>
      <c r="I125" s="240"/>
      <c r="J125" s="267"/>
      <c r="K125" s="240"/>
      <c r="L125" s="240"/>
      <c r="M125" s="240"/>
      <c r="N125" s="219"/>
    </row>
    <row r="126" spans="1:14" s="75" customFormat="1" ht="43.5" x14ac:dyDescent="0.35">
      <c r="A126" s="473"/>
      <c r="B126" s="57">
        <v>146</v>
      </c>
      <c r="C126" s="35" t="s">
        <v>60</v>
      </c>
      <c r="D126" s="35" t="s">
        <v>265</v>
      </c>
      <c r="E126" s="40"/>
      <c r="F126" s="160" t="s">
        <v>66</v>
      </c>
      <c r="G126" s="216" t="s">
        <v>73</v>
      </c>
      <c r="H126" s="239" t="s">
        <v>701</v>
      </c>
      <c r="I126" s="211" t="s">
        <v>6</v>
      </c>
      <c r="J126" s="212">
        <v>1</v>
      </c>
      <c r="K126" s="312">
        <v>0</v>
      </c>
      <c r="L126" s="220">
        <f>K126*J126</f>
        <v>0</v>
      </c>
      <c r="M126" s="312">
        <v>0</v>
      </c>
      <c r="N126" s="219" t="s">
        <v>577</v>
      </c>
    </row>
    <row r="127" spans="1:14" s="75" customFormat="1" ht="18.5" x14ac:dyDescent="0.35">
      <c r="A127" s="473"/>
      <c r="B127" s="249"/>
      <c r="C127" s="250"/>
      <c r="D127" s="250"/>
      <c r="E127" s="251"/>
      <c r="F127" s="217"/>
      <c r="G127" s="216"/>
      <c r="H127" s="323" t="s">
        <v>729</v>
      </c>
      <c r="I127" s="211" t="s">
        <v>6</v>
      </c>
      <c r="J127" s="212">
        <v>1</v>
      </c>
      <c r="K127" s="312">
        <v>0</v>
      </c>
      <c r="L127" s="220">
        <f>K127*J127</f>
        <v>0</v>
      </c>
      <c r="M127" s="312">
        <v>0</v>
      </c>
      <c r="N127" s="219" t="s">
        <v>730</v>
      </c>
    </row>
    <row r="128" spans="1:14" s="75" customFormat="1" x14ac:dyDescent="0.35">
      <c r="A128" s="473"/>
      <c r="B128" s="249"/>
      <c r="C128" s="251"/>
      <c r="D128" s="251"/>
      <c r="E128" s="251"/>
      <c r="F128" s="217"/>
      <c r="G128" s="217"/>
      <c r="H128" s="239" t="s">
        <v>65</v>
      </c>
      <c r="I128" s="211" t="s">
        <v>6</v>
      </c>
      <c r="J128" s="212">
        <v>1</v>
      </c>
      <c r="K128" s="312">
        <v>0</v>
      </c>
      <c r="L128" s="220">
        <f>K128*J128</f>
        <v>0</v>
      </c>
      <c r="M128" s="312">
        <v>0</v>
      </c>
      <c r="N128" s="219" t="s">
        <v>565</v>
      </c>
    </row>
    <row r="129" spans="1:14" s="75" customFormat="1" x14ac:dyDescent="0.35">
      <c r="A129" s="473"/>
      <c r="B129" s="249"/>
      <c r="C129" s="251"/>
      <c r="D129" s="251"/>
      <c r="E129" s="251"/>
      <c r="F129" s="217"/>
      <c r="G129" s="217"/>
      <c r="H129" s="239"/>
      <c r="I129" s="211"/>
      <c r="J129" s="212"/>
      <c r="K129" s="220"/>
      <c r="L129" s="220"/>
      <c r="M129" s="220"/>
      <c r="N129" s="219"/>
    </row>
    <row r="130" spans="1:14" s="75" customFormat="1" x14ac:dyDescent="0.35">
      <c r="A130" s="473"/>
      <c r="B130" s="249"/>
      <c r="C130" s="251"/>
      <c r="D130" s="251"/>
      <c r="E130" s="251"/>
      <c r="F130" s="217"/>
      <c r="G130" s="217" t="s">
        <v>74</v>
      </c>
      <c r="H130" s="239" t="s">
        <v>80</v>
      </c>
      <c r="I130" s="300" t="s">
        <v>279</v>
      </c>
      <c r="J130" s="301">
        <v>3</v>
      </c>
      <c r="K130" s="312">
        <v>0</v>
      </c>
      <c r="L130" s="229"/>
      <c r="M130" s="220">
        <f>K130*J130</f>
        <v>0</v>
      </c>
      <c r="N130" s="219"/>
    </row>
    <row r="131" spans="1:14" s="75" customFormat="1" x14ac:dyDescent="0.35">
      <c r="A131" s="473"/>
      <c r="B131" s="249"/>
      <c r="C131" s="251"/>
      <c r="D131" s="251"/>
      <c r="E131" s="251"/>
      <c r="F131" s="217"/>
      <c r="G131" s="217"/>
      <c r="H131" s="239" t="s">
        <v>76</v>
      </c>
      <c r="I131" s="300" t="s">
        <v>279</v>
      </c>
      <c r="J131" s="301">
        <v>1</v>
      </c>
      <c r="K131" s="312">
        <v>0</v>
      </c>
      <c r="L131" s="229"/>
      <c r="M131" s="220">
        <f>K131*J131</f>
        <v>0</v>
      </c>
      <c r="N131" s="219"/>
    </row>
    <row r="132" spans="1:14" s="75" customFormat="1" x14ac:dyDescent="0.35">
      <c r="A132" s="473"/>
      <c r="B132" s="249"/>
      <c r="C132" s="251"/>
      <c r="D132" s="251"/>
      <c r="E132" s="251"/>
      <c r="F132" s="217"/>
      <c r="G132" s="217"/>
      <c r="H132" s="239"/>
      <c r="I132" s="211"/>
      <c r="J132" s="212"/>
      <c r="K132" s="220"/>
      <c r="L132" s="220"/>
      <c r="M132" s="220"/>
      <c r="N132" s="219"/>
    </row>
    <row r="133" spans="1:14" s="75" customFormat="1" ht="15.5" x14ac:dyDescent="0.35">
      <c r="A133" s="473"/>
      <c r="B133" s="260"/>
      <c r="C133" s="261"/>
      <c r="D133" s="261"/>
      <c r="E133" s="261"/>
      <c r="F133" s="262"/>
      <c r="G133" s="255"/>
      <c r="H133" s="234" t="s">
        <v>459</v>
      </c>
      <c r="I133" s="256"/>
      <c r="J133" s="257"/>
      <c r="K133" s="258"/>
      <c r="L133" s="137">
        <f>SUM(L126:L131)</f>
        <v>0</v>
      </c>
      <c r="M133" s="137">
        <f>SUM(M126:M131)</f>
        <v>0</v>
      </c>
      <c r="N133" s="219"/>
    </row>
    <row r="134" spans="1:14" s="135" customFormat="1" x14ac:dyDescent="0.35">
      <c r="A134" s="473"/>
      <c r="B134" s="249"/>
      <c r="C134" s="251"/>
      <c r="D134" s="251"/>
      <c r="E134" s="251"/>
      <c r="F134" s="263"/>
      <c r="G134" s="263"/>
      <c r="H134" s="240"/>
      <c r="I134" s="211"/>
      <c r="J134" s="212"/>
      <c r="K134" s="220"/>
      <c r="L134" s="240"/>
      <c r="M134" s="240"/>
      <c r="N134" s="253"/>
    </row>
    <row r="135" spans="1:14" s="135" customFormat="1" ht="18.5" x14ac:dyDescent="0.35">
      <c r="A135" s="473"/>
      <c r="B135" s="57">
        <v>147</v>
      </c>
      <c r="C135" s="35" t="s">
        <v>60</v>
      </c>
      <c r="D135" s="35" t="s">
        <v>267</v>
      </c>
      <c r="E135" s="40"/>
      <c r="F135" s="160" t="s">
        <v>428</v>
      </c>
      <c r="G135" s="216" t="s">
        <v>73</v>
      </c>
      <c r="H135" s="239" t="s">
        <v>429</v>
      </c>
      <c r="I135" s="211" t="s">
        <v>6</v>
      </c>
      <c r="J135" s="212">
        <v>1</v>
      </c>
      <c r="K135" s="312">
        <v>0</v>
      </c>
      <c r="L135" s="220">
        <f>K135*J135</f>
        <v>0</v>
      </c>
      <c r="M135" s="312">
        <v>0</v>
      </c>
      <c r="N135" s="253"/>
    </row>
    <row r="136" spans="1:14" s="135" customFormat="1" x14ac:dyDescent="0.35">
      <c r="A136" s="473"/>
      <c r="B136" s="249"/>
      <c r="C136" s="251"/>
      <c r="D136" s="251"/>
      <c r="E136" s="251"/>
      <c r="F136" s="217"/>
      <c r="G136" s="217"/>
      <c r="H136" s="239"/>
      <c r="I136" s="211"/>
      <c r="J136" s="212"/>
      <c r="K136" s="220"/>
      <c r="L136" s="220"/>
      <c r="M136" s="220"/>
      <c r="N136" s="219"/>
    </row>
    <row r="137" spans="1:14" s="135" customFormat="1" ht="15.5" x14ac:dyDescent="0.35">
      <c r="A137" s="473"/>
      <c r="B137" s="260"/>
      <c r="C137" s="261"/>
      <c r="D137" s="261"/>
      <c r="E137" s="261"/>
      <c r="F137" s="262"/>
      <c r="G137" s="255"/>
      <c r="H137" s="234" t="s">
        <v>459</v>
      </c>
      <c r="I137" s="256"/>
      <c r="J137" s="257"/>
      <c r="K137" s="258"/>
      <c r="L137" s="137">
        <f>SUM(L135)</f>
        <v>0</v>
      </c>
      <c r="M137" s="137">
        <f>SUM(M135)</f>
        <v>0</v>
      </c>
      <c r="N137" s="219"/>
    </row>
    <row r="138" spans="1:14" s="75" customFormat="1" ht="15" thickBot="1" x14ac:dyDescent="0.4">
      <c r="A138" s="473"/>
      <c r="B138" s="249"/>
      <c r="C138" s="251"/>
      <c r="D138" s="251"/>
      <c r="E138" s="251"/>
      <c r="F138" s="251"/>
      <c r="G138" s="251"/>
      <c r="H138" s="229"/>
      <c r="I138" s="229"/>
      <c r="J138" s="268"/>
      <c r="K138" s="229"/>
      <c r="L138" s="229"/>
      <c r="M138" s="229"/>
      <c r="N138" s="219"/>
    </row>
    <row r="139" spans="1:14" s="75" customFormat="1" ht="19" thickBot="1" x14ac:dyDescent="0.4">
      <c r="A139" s="473"/>
      <c r="B139" s="453" t="s">
        <v>56</v>
      </c>
      <c r="C139" s="454"/>
      <c r="D139" s="454"/>
      <c r="E139" s="454"/>
      <c r="F139" s="454"/>
      <c r="G139" s="140"/>
      <c r="H139" s="140" t="s">
        <v>459</v>
      </c>
      <c r="I139" s="50"/>
      <c r="J139" s="94"/>
      <c r="K139" s="51"/>
      <c r="L139" s="52">
        <f>L133+L124+L137</f>
        <v>0</v>
      </c>
      <c r="M139" s="53">
        <f>M133+M124+M137</f>
        <v>0</v>
      </c>
      <c r="N139" s="219"/>
    </row>
    <row r="140" spans="1:14" s="75" customFormat="1" ht="19" thickBot="1" x14ac:dyDescent="0.4">
      <c r="A140" s="474"/>
      <c r="B140" s="293"/>
      <c r="C140" s="294"/>
      <c r="D140" s="294"/>
      <c r="E140" s="295"/>
      <c r="F140" s="296"/>
      <c r="G140" s="296"/>
      <c r="H140" s="297"/>
      <c r="I140" s="276"/>
      <c r="J140" s="298"/>
      <c r="K140" s="277"/>
      <c r="L140" s="278"/>
      <c r="M140" s="276"/>
      <c r="N140" s="254"/>
    </row>
    <row r="141" spans="1:14" ht="18.5" x14ac:dyDescent="0.35">
      <c r="A141" s="469" t="s">
        <v>71</v>
      </c>
      <c r="B141" s="56"/>
      <c r="C141" s="20"/>
      <c r="D141" s="20"/>
      <c r="E141" s="8"/>
      <c r="F141" s="13"/>
      <c r="G141" s="13"/>
      <c r="H141" s="141"/>
      <c r="I141" s="68"/>
      <c r="J141" s="95"/>
      <c r="K141" s="69"/>
      <c r="L141" s="69"/>
      <c r="M141" s="69"/>
      <c r="N141" s="252"/>
    </row>
    <row r="142" spans="1:14" ht="18.75" customHeight="1" x14ac:dyDescent="0.35">
      <c r="A142" s="470"/>
      <c r="B142" s="57">
        <v>148</v>
      </c>
      <c r="C142" s="35" t="s">
        <v>72</v>
      </c>
      <c r="D142" s="35" t="s">
        <v>264</v>
      </c>
      <c r="E142" s="40"/>
      <c r="F142" s="160" t="s">
        <v>270</v>
      </c>
      <c r="G142" s="161"/>
      <c r="H142" s="103" t="s">
        <v>555</v>
      </c>
      <c r="I142" s="68" t="s">
        <v>6</v>
      </c>
      <c r="J142" s="95">
        <v>1</v>
      </c>
      <c r="K142" s="312">
        <v>0</v>
      </c>
      <c r="L142" s="69">
        <f>K142*J142</f>
        <v>0</v>
      </c>
      <c r="M142" s="69"/>
      <c r="N142" s="219" t="s">
        <v>130</v>
      </c>
    </row>
    <row r="143" spans="1:14" x14ac:dyDescent="0.35">
      <c r="A143" s="470"/>
      <c r="B143" s="56"/>
      <c r="C143" s="8"/>
      <c r="D143" s="8"/>
      <c r="E143" s="8"/>
      <c r="F143" s="13"/>
      <c r="G143" s="13"/>
      <c r="H143" s="103"/>
      <c r="I143" s="68"/>
      <c r="J143" s="95"/>
      <c r="K143" s="69"/>
      <c r="L143" s="69"/>
      <c r="M143" s="69"/>
      <c r="N143" s="219"/>
    </row>
    <row r="144" spans="1:14" ht="15.5" x14ac:dyDescent="0.35">
      <c r="A144" s="470"/>
      <c r="B144" s="76"/>
      <c r="C144" s="77"/>
      <c r="D144" s="77"/>
      <c r="E144" s="77"/>
      <c r="F144" s="30"/>
      <c r="G144" s="31"/>
      <c r="H144" s="32" t="s">
        <v>459</v>
      </c>
      <c r="I144" s="33"/>
      <c r="J144" s="98"/>
      <c r="K144" s="34"/>
      <c r="L144" s="137">
        <f>SUM(L142:L142)</f>
        <v>0</v>
      </c>
      <c r="M144" s="137">
        <f>SUM(M142:M142)</f>
        <v>0</v>
      </c>
      <c r="N144" s="219"/>
    </row>
    <row r="145" spans="1:14" s="105" customFormat="1" ht="18.5" x14ac:dyDescent="0.35">
      <c r="A145" s="470"/>
      <c r="B145" s="56"/>
      <c r="C145" s="20"/>
      <c r="D145" s="20"/>
      <c r="E145" s="8"/>
      <c r="F145" s="13"/>
      <c r="G145" s="13"/>
      <c r="H145" s="141"/>
      <c r="I145" s="68"/>
      <c r="J145" s="95"/>
      <c r="K145" s="69"/>
      <c r="L145" s="69"/>
      <c r="M145" s="69"/>
      <c r="N145" s="219"/>
    </row>
    <row r="146" spans="1:14" s="105" customFormat="1" ht="18.75" customHeight="1" x14ac:dyDescent="0.35">
      <c r="A146" s="470"/>
      <c r="B146" s="57">
        <v>149</v>
      </c>
      <c r="C146" s="35" t="s">
        <v>72</v>
      </c>
      <c r="D146" s="35" t="s">
        <v>265</v>
      </c>
      <c r="E146" s="40"/>
      <c r="F146" s="160" t="s">
        <v>380</v>
      </c>
      <c r="G146" s="161"/>
      <c r="H146" s="103" t="s">
        <v>555</v>
      </c>
      <c r="I146" s="68" t="s">
        <v>6</v>
      </c>
      <c r="J146" s="95">
        <v>1</v>
      </c>
      <c r="K146" s="312">
        <v>0</v>
      </c>
      <c r="L146" s="69">
        <f>K146*J146</f>
        <v>0</v>
      </c>
      <c r="M146" s="69"/>
      <c r="N146" s="219" t="s">
        <v>130</v>
      </c>
    </row>
    <row r="147" spans="1:14" s="105" customFormat="1" x14ac:dyDescent="0.35">
      <c r="A147" s="470"/>
      <c r="B147" s="56"/>
      <c r="C147" s="8"/>
      <c r="D147" s="8"/>
      <c r="E147" s="8"/>
      <c r="F147" s="13"/>
      <c r="G147" s="13"/>
      <c r="H147" s="103"/>
      <c r="I147" s="68"/>
      <c r="J147" s="95"/>
      <c r="K147" s="69"/>
      <c r="L147" s="69"/>
      <c r="M147" s="69"/>
      <c r="N147" s="219"/>
    </row>
    <row r="148" spans="1:14" s="105" customFormat="1" ht="15.5" x14ac:dyDescent="0.35">
      <c r="A148" s="470"/>
      <c r="B148" s="76"/>
      <c r="C148" s="77"/>
      <c r="D148" s="77"/>
      <c r="E148" s="77"/>
      <c r="F148" s="30"/>
      <c r="G148" s="31"/>
      <c r="H148" s="32" t="s">
        <v>459</v>
      </c>
      <c r="I148" s="33"/>
      <c r="J148" s="98"/>
      <c r="K148" s="34"/>
      <c r="L148" s="137">
        <f>SUM(L146:L146)</f>
        <v>0</v>
      </c>
      <c r="M148" s="137">
        <f>SUM(M146:M146)</f>
        <v>0</v>
      </c>
      <c r="N148" s="219"/>
    </row>
    <row r="149" spans="1:14" ht="15" thickBot="1" x14ac:dyDescent="0.4">
      <c r="A149" s="470"/>
      <c r="B149" s="249"/>
      <c r="C149" s="251"/>
      <c r="D149" s="251"/>
      <c r="E149" s="251"/>
      <c r="F149" s="251"/>
      <c r="G149" s="251"/>
      <c r="H149" s="229"/>
      <c r="I149" s="229"/>
      <c r="J149" s="268"/>
      <c r="K149" s="229"/>
      <c r="L149" s="229"/>
      <c r="M149" s="229"/>
      <c r="N149" s="148"/>
    </row>
    <row r="150" spans="1:14" ht="19" thickBot="1" x14ac:dyDescent="0.4">
      <c r="A150" s="470"/>
      <c r="B150" s="453" t="s">
        <v>57</v>
      </c>
      <c r="C150" s="454"/>
      <c r="D150" s="454"/>
      <c r="E150" s="454"/>
      <c r="F150" s="454"/>
      <c r="G150" s="140"/>
      <c r="H150" s="140" t="s">
        <v>459</v>
      </c>
      <c r="I150" s="50"/>
      <c r="J150" s="94"/>
      <c r="K150" s="51"/>
      <c r="L150" s="52">
        <f>L144+L148</f>
        <v>0</v>
      </c>
      <c r="M150" s="53">
        <f>M144+M148</f>
        <v>0</v>
      </c>
      <c r="N150" s="302"/>
    </row>
    <row r="151" spans="1:14" ht="19" thickBot="1" x14ac:dyDescent="0.4">
      <c r="A151" s="471"/>
      <c r="B151" s="293"/>
      <c r="C151" s="294"/>
      <c r="D151" s="294"/>
      <c r="E151" s="295"/>
      <c r="F151" s="296"/>
      <c r="G151" s="296"/>
      <c r="H151" s="297"/>
      <c r="I151" s="276"/>
      <c r="J151" s="298"/>
      <c r="K151" s="277"/>
      <c r="L151" s="278"/>
      <c r="M151" s="276"/>
      <c r="N151" s="254"/>
    </row>
    <row r="152" spans="1:14" x14ac:dyDescent="0.35">
      <c r="A152" s="78"/>
      <c r="J152" s="99"/>
    </row>
    <row r="153" spans="1:14" x14ac:dyDescent="0.35">
      <c r="A153" s="78"/>
      <c r="J153" s="99"/>
    </row>
    <row r="154" spans="1:14" x14ac:dyDescent="0.35">
      <c r="A154" s="78"/>
      <c r="J154" s="99"/>
    </row>
    <row r="155" spans="1:14" x14ac:dyDescent="0.35">
      <c r="A155" s="78"/>
      <c r="J155" s="99"/>
    </row>
    <row r="156" spans="1:14" x14ac:dyDescent="0.35">
      <c r="A156" s="78"/>
      <c r="J156" s="99"/>
    </row>
    <row r="157" spans="1:14" x14ac:dyDescent="0.35">
      <c r="A157" s="78"/>
      <c r="J157" s="99"/>
    </row>
    <row r="158" spans="1:14" x14ac:dyDescent="0.35">
      <c r="A158" s="78"/>
      <c r="J158" s="99"/>
    </row>
    <row r="159" spans="1:14" x14ac:dyDescent="0.35">
      <c r="A159" s="78"/>
      <c r="J159" s="99"/>
    </row>
    <row r="160" spans="1:14" x14ac:dyDescent="0.35">
      <c r="J160" s="99"/>
    </row>
    <row r="161" spans="10:10" x14ac:dyDescent="0.35">
      <c r="J161" s="99"/>
    </row>
    <row r="162" spans="10:10" x14ac:dyDescent="0.35">
      <c r="J162" s="99"/>
    </row>
    <row r="163" spans="10:10" x14ac:dyDescent="0.35">
      <c r="J163" s="99"/>
    </row>
    <row r="164" spans="10:10" x14ac:dyDescent="0.35">
      <c r="J164" s="99"/>
    </row>
    <row r="165" spans="10:10" x14ac:dyDescent="0.35">
      <c r="J165" s="99"/>
    </row>
    <row r="166" spans="10:10" x14ac:dyDescent="0.35">
      <c r="J166" s="99"/>
    </row>
    <row r="167" spans="10:10" x14ac:dyDescent="0.35">
      <c r="J167" s="99"/>
    </row>
    <row r="168" spans="10:10" x14ac:dyDescent="0.35">
      <c r="J168" s="99"/>
    </row>
    <row r="169" spans="10:10" x14ac:dyDescent="0.35">
      <c r="J169" s="99"/>
    </row>
    <row r="170" spans="10:10" x14ac:dyDescent="0.35">
      <c r="J170" s="99"/>
    </row>
    <row r="171" spans="10:10" x14ac:dyDescent="0.35">
      <c r="J171" s="99"/>
    </row>
    <row r="172" spans="10:10" x14ac:dyDescent="0.35">
      <c r="J172" s="99"/>
    </row>
    <row r="173" spans="10:10" x14ac:dyDescent="0.35">
      <c r="J173" s="99"/>
    </row>
    <row r="174" spans="10:10" x14ac:dyDescent="0.35">
      <c r="J174" s="99"/>
    </row>
    <row r="175" spans="10:10" x14ac:dyDescent="0.35">
      <c r="J175" s="99"/>
    </row>
    <row r="176" spans="10:10" x14ac:dyDescent="0.35">
      <c r="J176" s="99"/>
    </row>
    <row r="177" spans="10:10" x14ac:dyDescent="0.35">
      <c r="J177" s="99"/>
    </row>
    <row r="178" spans="10:10" x14ac:dyDescent="0.35">
      <c r="J178" s="99"/>
    </row>
    <row r="179" spans="10:10" x14ac:dyDescent="0.35">
      <c r="J179" s="99"/>
    </row>
    <row r="180" spans="10:10" x14ac:dyDescent="0.35">
      <c r="J180" s="99"/>
    </row>
    <row r="181" spans="10:10" x14ac:dyDescent="0.35">
      <c r="J181" s="99"/>
    </row>
    <row r="182" spans="10:10" x14ac:dyDescent="0.35">
      <c r="J182" s="99"/>
    </row>
    <row r="183" spans="10:10" x14ac:dyDescent="0.35">
      <c r="J183" s="99"/>
    </row>
    <row r="184" spans="10:10" x14ac:dyDescent="0.35">
      <c r="J184" s="99"/>
    </row>
    <row r="185" spans="10:10" x14ac:dyDescent="0.35">
      <c r="J185" s="99"/>
    </row>
    <row r="186" spans="10:10" x14ac:dyDescent="0.35">
      <c r="J186" s="99"/>
    </row>
    <row r="187" spans="10:10" x14ac:dyDescent="0.35">
      <c r="J187" s="99"/>
    </row>
    <row r="188" spans="10:10" x14ac:dyDescent="0.35">
      <c r="J188" s="99"/>
    </row>
    <row r="189" spans="10:10" x14ac:dyDescent="0.35">
      <c r="J189" s="99"/>
    </row>
    <row r="190" spans="10:10" x14ac:dyDescent="0.35">
      <c r="J190" s="99"/>
    </row>
    <row r="191" spans="10:10" x14ac:dyDescent="0.35">
      <c r="J191" s="99"/>
    </row>
    <row r="192" spans="10:10" x14ac:dyDescent="0.35">
      <c r="J192" s="99"/>
    </row>
    <row r="193" spans="10:10" x14ac:dyDescent="0.35">
      <c r="J193" s="99"/>
    </row>
    <row r="194" spans="10:10" x14ac:dyDescent="0.35">
      <c r="J194" s="99"/>
    </row>
    <row r="195" spans="10:10" x14ac:dyDescent="0.35">
      <c r="J195" s="99"/>
    </row>
    <row r="196" spans="10:10" x14ac:dyDescent="0.35">
      <c r="J196" s="99"/>
    </row>
    <row r="197" spans="10:10" x14ac:dyDescent="0.35">
      <c r="J197" s="99"/>
    </row>
    <row r="198" spans="10:10" x14ac:dyDescent="0.35">
      <c r="J198" s="99"/>
    </row>
    <row r="199" spans="10:10" x14ac:dyDescent="0.35">
      <c r="J199" s="99"/>
    </row>
    <row r="200" spans="10:10" x14ac:dyDescent="0.35">
      <c r="J200" s="99"/>
    </row>
    <row r="201" spans="10:10" x14ac:dyDescent="0.35">
      <c r="J201" s="99"/>
    </row>
    <row r="202" spans="10:10" x14ac:dyDescent="0.35">
      <c r="J202" s="99"/>
    </row>
    <row r="203" spans="10:10" x14ac:dyDescent="0.35">
      <c r="J203" s="99"/>
    </row>
    <row r="204" spans="10:10" x14ac:dyDescent="0.35">
      <c r="J204" s="99"/>
    </row>
    <row r="205" spans="10:10" x14ac:dyDescent="0.35">
      <c r="J205" s="99"/>
    </row>
    <row r="206" spans="10:10" x14ac:dyDescent="0.35">
      <c r="J206" s="99"/>
    </row>
    <row r="207" spans="10:10" x14ac:dyDescent="0.35">
      <c r="J207" s="99"/>
    </row>
    <row r="208" spans="10:10" x14ac:dyDescent="0.35">
      <c r="J208" s="99"/>
    </row>
    <row r="209" spans="10:10" x14ac:dyDescent="0.35">
      <c r="J209" s="99"/>
    </row>
    <row r="210" spans="10:10" x14ac:dyDescent="0.35">
      <c r="J210" s="99"/>
    </row>
    <row r="211" spans="10:10" x14ac:dyDescent="0.35">
      <c r="J211" s="99"/>
    </row>
    <row r="212" spans="10:10" x14ac:dyDescent="0.35">
      <c r="J212" s="99"/>
    </row>
    <row r="213" spans="10:10" x14ac:dyDescent="0.35">
      <c r="J213" s="99"/>
    </row>
    <row r="214" spans="10:10" x14ac:dyDescent="0.35">
      <c r="J214" s="99"/>
    </row>
    <row r="215" spans="10:10" x14ac:dyDescent="0.35">
      <c r="J215" s="99"/>
    </row>
    <row r="216" spans="10:10" x14ac:dyDescent="0.35">
      <c r="J216" s="99"/>
    </row>
    <row r="217" spans="10:10" x14ac:dyDescent="0.35">
      <c r="J217" s="99"/>
    </row>
    <row r="218" spans="10:10" x14ac:dyDescent="0.35">
      <c r="J218" s="99"/>
    </row>
    <row r="219" spans="10:10" x14ac:dyDescent="0.35">
      <c r="J219" s="99"/>
    </row>
    <row r="220" spans="10:10" x14ac:dyDescent="0.35">
      <c r="J220" s="99"/>
    </row>
    <row r="221" spans="10:10" x14ac:dyDescent="0.35">
      <c r="J221" s="99"/>
    </row>
    <row r="222" spans="10:10" x14ac:dyDescent="0.35">
      <c r="J222" s="99"/>
    </row>
    <row r="223" spans="10:10" x14ac:dyDescent="0.35">
      <c r="J223" s="99"/>
    </row>
    <row r="224" spans="10:10" x14ac:dyDescent="0.35">
      <c r="J224" s="99"/>
    </row>
    <row r="225" spans="10:10" x14ac:dyDescent="0.35">
      <c r="J225" s="99"/>
    </row>
    <row r="226" spans="10:10" x14ac:dyDescent="0.35">
      <c r="J226" s="99"/>
    </row>
    <row r="227" spans="10:10" x14ac:dyDescent="0.35">
      <c r="J227" s="99"/>
    </row>
    <row r="228" spans="10:10" x14ac:dyDescent="0.35">
      <c r="J228" s="99"/>
    </row>
    <row r="229" spans="10:10" x14ac:dyDescent="0.35">
      <c r="J229" s="99"/>
    </row>
    <row r="230" spans="10:10" x14ac:dyDescent="0.35">
      <c r="J230" s="99"/>
    </row>
    <row r="231" spans="10:10" x14ac:dyDescent="0.35">
      <c r="J231" s="99"/>
    </row>
    <row r="232" spans="10:10" x14ac:dyDescent="0.35">
      <c r="J232" s="99"/>
    </row>
    <row r="233" spans="10:10" x14ac:dyDescent="0.35">
      <c r="J233" s="99"/>
    </row>
    <row r="234" spans="10:10" x14ac:dyDescent="0.35">
      <c r="J234" s="99"/>
    </row>
    <row r="235" spans="10:10" x14ac:dyDescent="0.35">
      <c r="J235" s="99"/>
    </row>
    <row r="236" spans="10:10" x14ac:dyDescent="0.35">
      <c r="J236" s="99"/>
    </row>
    <row r="237" spans="10:10" x14ac:dyDescent="0.35">
      <c r="J237" s="99"/>
    </row>
    <row r="238" spans="10:10" x14ac:dyDescent="0.35">
      <c r="J238" s="99"/>
    </row>
    <row r="239" spans="10:10" x14ac:dyDescent="0.35">
      <c r="J239" s="99"/>
    </row>
    <row r="240" spans="10:10" x14ac:dyDescent="0.35">
      <c r="J240" s="99"/>
    </row>
    <row r="241" spans="10:10" x14ac:dyDescent="0.35">
      <c r="J241" s="99"/>
    </row>
    <row r="242" spans="10:10" x14ac:dyDescent="0.35">
      <c r="J242" s="99"/>
    </row>
    <row r="243" spans="10:10" x14ac:dyDescent="0.35">
      <c r="J243" s="99"/>
    </row>
    <row r="244" spans="10:10" x14ac:dyDescent="0.35">
      <c r="J244" s="99"/>
    </row>
    <row r="245" spans="10:10" x14ac:dyDescent="0.35">
      <c r="J245" s="99"/>
    </row>
    <row r="246" spans="10:10" x14ac:dyDescent="0.35">
      <c r="J246" s="99"/>
    </row>
    <row r="247" spans="10:10" x14ac:dyDescent="0.35">
      <c r="J247" s="99"/>
    </row>
    <row r="248" spans="10:10" x14ac:dyDescent="0.35">
      <c r="J248" s="99"/>
    </row>
    <row r="249" spans="10:10" x14ac:dyDescent="0.35">
      <c r="J249" s="99"/>
    </row>
    <row r="250" spans="10:10" x14ac:dyDescent="0.35">
      <c r="J250" s="99"/>
    </row>
    <row r="251" spans="10:10" x14ac:dyDescent="0.35">
      <c r="J251" s="99"/>
    </row>
    <row r="252" spans="10:10" x14ac:dyDescent="0.35">
      <c r="J252" s="99"/>
    </row>
    <row r="253" spans="10:10" x14ac:dyDescent="0.35">
      <c r="J253" s="99"/>
    </row>
    <row r="254" spans="10:10" x14ac:dyDescent="0.35">
      <c r="J254" s="99"/>
    </row>
    <row r="255" spans="10:10" x14ac:dyDescent="0.35">
      <c r="J255" s="99"/>
    </row>
    <row r="256" spans="10:10" x14ac:dyDescent="0.35">
      <c r="J256" s="99"/>
    </row>
    <row r="257" spans="10:10" x14ac:dyDescent="0.35">
      <c r="J257" s="99"/>
    </row>
    <row r="258" spans="10:10" x14ac:dyDescent="0.35">
      <c r="J258" s="99"/>
    </row>
    <row r="259" spans="10:10" x14ac:dyDescent="0.35">
      <c r="J259" s="99"/>
    </row>
    <row r="260" spans="10:10" x14ac:dyDescent="0.35">
      <c r="J260" s="99"/>
    </row>
    <row r="261" spans="10:10" x14ac:dyDescent="0.35">
      <c r="J261" s="99"/>
    </row>
    <row r="262" spans="10:10" x14ac:dyDescent="0.35">
      <c r="J262" s="99"/>
    </row>
    <row r="263" spans="10:10" x14ac:dyDescent="0.35">
      <c r="J263" s="99"/>
    </row>
    <row r="264" spans="10:10" x14ac:dyDescent="0.35">
      <c r="J264" s="99"/>
    </row>
    <row r="265" spans="10:10" x14ac:dyDescent="0.35">
      <c r="J265" s="99"/>
    </row>
    <row r="266" spans="10:10" x14ac:dyDescent="0.35">
      <c r="J266" s="99"/>
    </row>
    <row r="267" spans="10:10" x14ac:dyDescent="0.35">
      <c r="J267" s="99"/>
    </row>
    <row r="268" spans="10:10" x14ac:dyDescent="0.35">
      <c r="J268" s="99"/>
    </row>
    <row r="269" spans="10:10" x14ac:dyDescent="0.35">
      <c r="J269" s="99"/>
    </row>
    <row r="270" spans="10:10" x14ac:dyDescent="0.35">
      <c r="J270" s="99"/>
    </row>
    <row r="271" spans="10:10" x14ac:dyDescent="0.35">
      <c r="J271" s="99"/>
    </row>
    <row r="272" spans="10:10" x14ac:dyDescent="0.35">
      <c r="J272" s="99"/>
    </row>
    <row r="273" spans="10:10" x14ac:dyDescent="0.35">
      <c r="J273" s="99"/>
    </row>
    <row r="274" spans="10:10" x14ac:dyDescent="0.35">
      <c r="J274" s="99"/>
    </row>
    <row r="275" spans="10:10" x14ac:dyDescent="0.35">
      <c r="J275" s="99"/>
    </row>
    <row r="276" spans="10:10" x14ac:dyDescent="0.35">
      <c r="J276" s="99"/>
    </row>
    <row r="277" spans="10:10" x14ac:dyDescent="0.35">
      <c r="J277" s="99"/>
    </row>
    <row r="278" spans="10:10" x14ac:dyDescent="0.35">
      <c r="J278" s="99"/>
    </row>
    <row r="279" spans="10:10" x14ac:dyDescent="0.35">
      <c r="J279" s="99"/>
    </row>
    <row r="280" spans="10:10" x14ac:dyDescent="0.35">
      <c r="J280" s="99"/>
    </row>
    <row r="281" spans="10:10" x14ac:dyDescent="0.35">
      <c r="J281" s="99"/>
    </row>
    <row r="282" spans="10:10" x14ac:dyDescent="0.35">
      <c r="J282" s="99"/>
    </row>
    <row r="283" spans="10:10" x14ac:dyDescent="0.35">
      <c r="J283" s="99"/>
    </row>
    <row r="284" spans="10:10" x14ac:dyDescent="0.35">
      <c r="J284" s="99"/>
    </row>
    <row r="285" spans="10:10" x14ac:dyDescent="0.35">
      <c r="J285" s="99"/>
    </row>
    <row r="286" spans="10:10" x14ac:dyDescent="0.35">
      <c r="J286" s="99"/>
    </row>
    <row r="287" spans="10:10" x14ac:dyDescent="0.35">
      <c r="J287" s="99"/>
    </row>
    <row r="288" spans="10:10" x14ac:dyDescent="0.35">
      <c r="J288" s="99"/>
    </row>
    <row r="289" spans="10:10" x14ac:dyDescent="0.35">
      <c r="J289" s="99"/>
    </row>
    <row r="290" spans="10:10" x14ac:dyDescent="0.35">
      <c r="J290" s="99"/>
    </row>
    <row r="291" spans="10:10" x14ac:dyDescent="0.35">
      <c r="J291" s="99"/>
    </row>
    <row r="292" spans="10:10" x14ac:dyDescent="0.35">
      <c r="J292" s="99"/>
    </row>
    <row r="293" spans="10:10" x14ac:dyDescent="0.35">
      <c r="J293" s="99"/>
    </row>
    <row r="294" spans="10:10" x14ac:dyDescent="0.35">
      <c r="J294" s="99"/>
    </row>
    <row r="295" spans="10:10" x14ac:dyDescent="0.35">
      <c r="J295" s="99"/>
    </row>
    <row r="296" spans="10:10" x14ac:dyDescent="0.35">
      <c r="J296" s="99"/>
    </row>
    <row r="297" spans="10:10" x14ac:dyDescent="0.35">
      <c r="J297" s="99"/>
    </row>
    <row r="298" spans="10:10" x14ac:dyDescent="0.35">
      <c r="J298" s="99"/>
    </row>
  </sheetData>
  <sheetProtection sheet="1" objects="1" scenarios="1"/>
  <mergeCells count="22">
    <mergeCell ref="A10:G10"/>
    <mergeCell ref="F14:G14"/>
    <mergeCell ref="B26:F26"/>
    <mergeCell ref="B78:F78"/>
    <mergeCell ref="A2:N2"/>
    <mergeCell ref="A5:G5"/>
    <mergeCell ref="A6:G6"/>
    <mergeCell ref="A7:G7"/>
    <mergeCell ref="A8:G8"/>
    <mergeCell ref="A9:G9"/>
    <mergeCell ref="C14:D14"/>
    <mergeCell ref="A11:K11"/>
    <mergeCell ref="A141:A151"/>
    <mergeCell ref="B150:F150"/>
    <mergeCell ref="A28:A79"/>
    <mergeCell ref="A16:A27"/>
    <mergeCell ref="A80:A98"/>
    <mergeCell ref="B97:F97"/>
    <mergeCell ref="A99:A113"/>
    <mergeCell ref="B112:F112"/>
    <mergeCell ref="A114:A140"/>
    <mergeCell ref="B139:F139"/>
  </mergeCells>
  <pageMargins left="0.23622047244094491" right="0.23622047244094491" top="0.11811023622047245" bottom="0.27559055118110237" header="0.11811023622047245" footer="0.11811023622047245"/>
  <pageSetup paperSize="9" scale="43" firstPageNumber="20" fitToHeight="0" orientation="landscape" useFirstPageNumber="1" horizontalDpi="1200" verticalDpi="1200" r:id="rId1"/>
  <headerFooter>
    <oddFooter>&amp;C&amp;P/43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14</vt:i4>
      </vt:variant>
    </vt:vector>
  </HeadingPairs>
  <TitlesOfParts>
    <vt:vector size="30" baseType="lpstr">
      <vt:lpstr>00_SOUHRNNÝ LIST</vt:lpstr>
      <vt:lpstr>00_SHRNUTÍ EXPOZIC</vt:lpstr>
      <vt:lpstr>01_LAPIDARIUM</vt:lpstr>
      <vt:lpstr>03_DOBA LEDOVÁ</vt:lpstr>
      <vt:lpstr>04_OTEVŘENÁ KRAJINA</vt:lpstr>
      <vt:lpstr>05_VODA</vt:lpstr>
      <vt:lpstr>07_LESY</vt:lpstr>
      <vt:lpstr>08_MRAVENIŠTĚ</vt:lpstr>
      <vt:lpstr>09_GOTIKA</vt:lpstr>
      <vt:lpstr>10_JIHLAVSKÉ CECHY</vt:lpstr>
      <vt:lpstr>11_RENESANCE</vt:lpstr>
      <vt:lpstr>12_BAROKO</vt:lpstr>
      <vt:lpstr>13_19.STOLETÍ</vt:lpstr>
      <vt:lpstr>14_20.STOLETÍ</vt:lpstr>
      <vt:lpstr>15_KUNSTKOMORA</vt:lpstr>
      <vt:lpstr>16_VIDEOMAPPING</vt:lpstr>
      <vt:lpstr>'01_LAPIDARIUM'!Názvy_tisku</vt:lpstr>
      <vt:lpstr>'03_DOBA LEDOVÁ'!Názvy_tisku</vt:lpstr>
      <vt:lpstr>'04_OTEVŘENÁ KRAJINA'!Názvy_tisku</vt:lpstr>
      <vt:lpstr>'05_VODA'!Názvy_tisku</vt:lpstr>
      <vt:lpstr>'07_LESY'!Názvy_tisku</vt:lpstr>
      <vt:lpstr>'08_MRAVENIŠTĚ'!Názvy_tisku</vt:lpstr>
      <vt:lpstr>'09_GOTIKA'!Názvy_tisku</vt:lpstr>
      <vt:lpstr>'10_JIHLAVSKÉ CECHY'!Názvy_tisku</vt:lpstr>
      <vt:lpstr>'11_RENESANCE'!Názvy_tisku</vt:lpstr>
      <vt:lpstr>'12_BAROKO'!Názvy_tisku</vt:lpstr>
      <vt:lpstr>'13_19.STOLETÍ'!Názvy_tisku</vt:lpstr>
      <vt:lpstr>'14_20.STOLETÍ'!Názvy_tisku</vt:lpstr>
      <vt:lpstr>'15_KUNSTKOMORA'!Názvy_tisku</vt:lpstr>
      <vt:lpstr>'16_VIDEOMAPPING'!Názvy_tisku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bilek</dc:creator>
  <cp:lastModifiedBy>Bena Marek</cp:lastModifiedBy>
  <cp:lastPrinted>2022-11-01T18:21:45Z</cp:lastPrinted>
  <dcterms:created xsi:type="dcterms:W3CDTF">2021-10-23T10:16:40Z</dcterms:created>
  <dcterms:modified xsi:type="dcterms:W3CDTF">2022-11-01T18:37:12Z</dcterms:modified>
</cp:coreProperties>
</file>